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ocuments\Pragmaticus\GGSSA\GGSSA Admin\Memberships &amp; invoicing\2014-2015 FY\"/>
    </mc:Choice>
  </mc:AlternateContent>
  <bookViews>
    <workbookView xWindow="0" yWindow="0" windowWidth="28800" windowHeight="12435" activeTab="2"/>
  </bookViews>
  <sheets>
    <sheet name="Membership" sheetId="3" r:id="rId1"/>
    <sheet name="Bank Reconciliation" sheetId="7" r:id="rId2"/>
    <sheet name="Receivable" sheetId="1" r:id="rId3"/>
    <sheet name="Payable" sheetId="2" r:id="rId4"/>
    <sheet name=" Interest &amp; Fees" sheetId="5" r:id="rId5"/>
    <sheet name="P&amp;L Statement" sheetId="4" r:id="rId6"/>
    <sheet name="BAS" sheetId="8" r:id="rId7"/>
  </sheets>
  <calcPr calcId="152511"/>
</workbook>
</file>

<file path=xl/calcChain.xml><?xml version="1.0" encoding="utf-8"?>
<calcChain xmlns="http://schemas.openxmlformats.org/spreadsheetml/2006/main">
  <c r="H11" i="1" l="1"/>
  <c r="H12" i="1"/>
  <c r="H10" i="1"/>
  <c r="H5" i="1"/>
  <c r="H6" i="1"/>
  <c r="H7" i="1"/>
  <c r="H8" i="1"/>
  <c r="H4" i="1"/>
  <c r="B12" i="7" l="1"/>
  <c r="B11" i="7"/>
  <c r="C8" i="8" l="1"/>
  <c r="C9" i="8" s="1"/>
  <c r="D8" i="8"/>
  <c r="E8" i="8"/>
  <c r="E9" i="8" s="1"/>
  <c r="B8" i="8"/>
  <c r="B9" i="8" s="1"/>
  <c r="C7" i="8"/>
  <c r="D7" i="8"/>
  <c r="E7" i="8"/>
  <c r="B7" i="8"/>
  <c r="F6" i="8"/>
  <c r="C6" i="8"/>
  <c r="D6" i="8"/>
  <c r="E6" i="8"/>
  <c r="B6" i="8"/>
  <c r="B5" i="8"/>
  <c r="F5" i="8"/>
  <c r="C5" i="8"/>
  <c r="D5" i="8"/>
  <c r="E5" i="8"/>
  <c r="B9" i="7"/>
  <c r="B10" i="7"/>
  <c r="B13" i="7" s="1"/>
  <c r="F7" i="8" l="1"/>
  <c r="F9" i="8"/>
  <c r="F8" i="8"/>
  <c r="D9" i="8"/>
  <c r="Y27" i="3" l="1"/>
  <c r="X27" i="3"/>
  <c r="E25" i="4" l="1"/>
  <c r="D25" i="4"/>
  <c r="C25" i="4"/>
  <c r="B25" i="4"/>
  <c r="C17" i="4"/>
  <c r="D17" i="4"/>
  <c r="E17" i="4"/>
  <c r="B17" i="4"/>
  <c r="B14" i="4"/>
  <c r="C14" i="4"/>
  <c r="D14" i="4"/>
  <c r="E14" i="4"/>
  <c r="B15" i="4"/>
  <c r="C15" i="4"/>
  <c r="D15" i="4"/>
  <c r="E15" i="4"/>
  <c r="B16" i="4"/>
  <c r="C16" i="4"/>
  <c r="D16" i="4"/>
  <c r="E16" i="4"/>
  <c r="C18" i="4"/>
  <c r="D18" i="4"/>
  <c r="E18" i="4"/>
  <c r="B19" i="4"/>
  <c r="C19" i="4"/>
  <c r="D19" i="4"/>
  <c r="E19" i="4"/>
  <c r="B20" i="4"/>
  <c r="C20" i="4"/>
  <c r="D20" i="4"/>
  <c r="E20" i="4"/>
  <c r="C13" i="4"/>
  <c r="D13" i="4"/>
  <c r="E13" i="4"/>
  <c r="B13" i="4"/>
  <c r="I8" i="2"/>
  <c r="I7" i="2"/>
  <c r="J7" i="2"/>
  <c r="B8" i="4"/>
  <c r="C8" i="4"/>
  <c r="D8" i="4"/>
  <c r="E8" i="4"/>
  <c r="B9" i="4"/>
  <c r="C9" i="4"/>
  <c r="D9" i="4"/>
  <c r="E9" i="4"/>
  <c r="C7" i="4"/>
  <c r="D7" i="4"/>
  <c r="E7" i="4"/>
  <c r="B7" i="4"/>
  <c r="E21" i="4" l="1"/>
  <c r="D21" i="4"/>
  <c r="C21" i="4"/>
  <c r="F19" i="4"/>
  <c r="F16" i="4"/>
  <c r="F20" i="4"/>
  <c r="F17" i="4"/>
  <c r="F15" i="4"/>
  <c r="F14" i="4"/>
  <c r="Y20" i="3"/>
  <c r="X20" i="3"/>
  <c r="Y19" i="3"/>
  <c r="X19" i="3"/>
  <c r="Y18" i="3"/>
  <c r="X18" i="3"/>
  <c r="B19" i="7" l="1"/>
  <c r="B8" i="7"/>
  <c r="B18" i="4"/>
  <c r="H9" i="1"/>
  <c r="I4" i="1"/>
  <c r="I5" i="1"/>
  <c r="I6" i="1"/>
  <c r="I7" i="1"/>
  <c r="I8" i="1"/>
  <c r="I9" i="1"/>
  <c r="I10" i="1"/>
  <c r="I11" i="1"/>
  <c r="I12" i="1"/>
  <c r="G4" i="1"/>
  <c r="G5" i="1"/>
  <c r="G6" i="1"/>
  <c r="G7" i="1"/>
  <c r="G8" i="1"/>
  <c r="G9" i="1"/>
  <c r="G10" i="1"/>
  <c r="G11" i="1"/>
  <c r="G12" i="1"/>
  <c r="F4" i="1"/>
  <c r="F5" i="1"/>
  <c r="F6" i="1"/>
  <c r="F7" i="1"/>
  <c r="F8" i="1"/>
  <c r="F9" i="1"/>
  <c r="F10" i="1"/>
  <c r="F11" i="1"/>
  <c r="F12" i="1"/>
  <c r="D4" i="1"/>
  <c r="D5" i="1"/>
  <c r="D6" i="1"/>
  <c r="D7" i="1"/>
  <c r="D8" i="1"/>
  <c r="D9" i="1"/>
  <c r="D10" i="1"/>
  <c r="D11" i="1"/>
  <c r="D12" i="1"/>
  <c r="B21" i="4" l="1"/>
  <c r="F18" i="4"/>
  <c r="B20" i="7"/>
  <c r="C48" i="3"/>
  <c r="C43" i="3"/>
  <c r="C44" i="3"/>
  <c r="C45" i="3"/>
  <c r="C46" i="3"/>
  <c r="C42" i="3"/>
  <c r="C47" i="3" l="1"/>
  <c r="J15" i="2" l="1"/>
  <c r="K15" i="2"/>
  <c r="I15" i="2"/>
  <c r="F9" i="4" l="1"/>
  <c r="F13" i="4"/>
  <c r="F21" i="4" s="1"/>
  <c r="C10" i="4" l="1"/>
  <c r="C24" i="4" s="1"/>
  <c r="C26" i="4" s="1"/>
  <c r="D10" i="4"/>
  <c r="D24" i="4" s="1"/>
  <c r="D26" i="4" s="1"/>
  <c r="F25" i="4"/>
  <c r="F7" i="4"/>
  <c r="E10" i="4"/>
  <c r="E24" i="4" s="1"/>
  <c r="E26" i="4" s="1"/>
  <c r="B10" i="4"/>
  <c r="B24" i="4" s="1"/>
  <c r="B26" i="4" s="1"/>
  <c r="F8" i="4"/>
  <c r="F10" i="4" l="1"/>
  <c r="F24" i="4" s="1"/>
  <c r="F26" i="4" s="1"/>
  <c r="K14" i="1" l="1"/>
  <c r="L14" i="1"/>
  <c r="J14" i="1"/>
</calcChain>
</file>

<file path=xl/comments1.xml><?xml version="1.0" encoding="utf-8"?>
<comments xmlns="http://schemas.openxmlformats.org/spreadsheetml/2006/main">
  <authors>
    <author>Owner</author>
    <author>Oliver, Kathlene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Need new contact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</rPr>
          <t>Oliver, Kathlene:</t>
        </r>
        <r>
          <rPr>
            <sz val="9"/>
            <color indexed="81"/>
            <rFont val="Tahoma"/>
            <family val="2"/>
          </rPr>
          <t xml:space="preserve">
resent as INVPP-0002 13/3/14 to enable credit card payment</t>
        </r>
      </text>
    </comment>
    <comment ref="I21" authorId="1" shapeId="0">
      <text>
        <r>
          <rPr>
            <b/>
            <sz val="9"/>
            <color indexed="81"/>
            <rFont val="Tahoma"/>
            <family val="2"/>
          </rPr>
          <t>Oliver, Kathlene:</t>
        </r>
        <r>
          <rPr>
            <sz val="9"/>
            <color indexed="81"/>
            <rFont val="Tahoma"/>
            <family val="2"/>
          </rPr>
          <t xml:space="preserve">
Reissued as INVPP-0001 through Paypal on 13 March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Invoice 1548 sent 31/3/2015 cancelled</t>
        </r>
      </text>
    </comment>
    <comment ref="N28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Need new contact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Need new contact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Paid by cheque</t>
        </r>
      </text>
    </comment>
    <comment ref="N35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Need new contact</t>
        </r>
      </text>
    </comment>
  </commentList>
</comments>
</file>

<file path=xl/comments2.xml><?xml version="1.0" encoding="utf-8"?>
<comments xmlns="http://schemas.openxmlformats.org/spreadsheetml/2006/main">
  <authors>
    <author>Owner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Do not have a copy of this invoice</t>
        </r>
      </text>
    </comment>
    <comment ref="A6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Do not have a copy of this invoice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Do not have a copy of this invoice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GST amount estimated (don't have invoice)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Do not have a copy of this invoice</t>
        </r>
      </text>
    </comment>
  </commentList>
</comments>
</file>

<file path=xl/sharedStrings.xml><?xml version="1.0" encoding="utf-8"?>
<sst xmlns="http://schemas.openxmlformats.org/spreadsheetml/2006/main" count="800" uniqueCount="446">
  <si>
    <t>Invoice Number</t>
  </si>
  <si>
    <t>Invoice Type</t>
  </si>
  <si>
    <t>Date</t>
  </si>
  <si>
    <t>Debtor ABN</t>
  </si>
  <si>
    <t>Status</t>
  </si>
  <si>
    <t>Sponsorship</t>
  </si>
  <si>
    <t>AngloGold Ashanti</t>
  </si>
  <si>
    <t>Description</t>
  </si>
  <si>
    <t>Creditor</t>
  </si>
  <si>
    <t>Creditor ABN</t>
  </si>
  <si>
    <t>Amount ex GST</t>
  </si>
  <si>
    <t>GST</t>
  </si>
  <si>
    <t>Total</t>
  </si>
  <si>
    <t>Date of Invoice</t>
  </si>
  <si>
    <t>Date Received</t>
  </si>
  <si>
    <t>Date Due</t>
  </si>
  <si>
    <t>Keith Martin</t>
  </si>
  <si>
    <t>42 008 737 424</t>
  </si>
  <si>
    <t>Due Date</t>
  </si>
  <si>
    <t>Rio Tinto Exploration Pty Ltd</t>
  </si>
  <si>
    <t>Theo Aravanis</t>
  </si>
  <si>
    <t>Membership</t>
  </si>
  <si>
    <t>GPX Surveys</t>
  </si>
  <si>
    <t>Katherine McKenna</t>
  </si>
  <si>
    <t>Kelly Keates</t>
  </si>
  <si>
    <t>CGG Ground Geophysics (Australia) Pty Ltd</t>
  </si>
  <si>
    <t>Kathlene Oliver</t>
  </si>
  <si>
    <t>80 001 030 315</t>
  </si>
  <si>
    <t>Zonge Engineering and Research Organization (Australia) Pty Ltd</t>
  </si>
  <si>
    <t>48 110 619 602</t>
  </si>
  <si>
    <t>RTO</t>
  </si>
  <si>
    <t>AGA</t>
  </si>
  <si>
    <t>GPX</t>
  </si>
  <si>
    <t>ZNG</t>
  </si>
  <si>
    <t>CGG</t>
  </si>
  <si>
    <t>57 008 029 972</t>
  </si>
  <si>
    <t>76 000 057 125</t>
  </si>
  <si>
    <t>Approved</t>
  </si>
  <si>
    <t>Date Approved</t>
  </si>
  <si>
    <t>Active L1</t>
  </si>
  <si>
    <t>Southernrock Geophysics S. A.</t>
  </si>
  <si>
    <t>Cira Pty Ltd</t>
  </si>
  <si>
    <t>Associate L2</t>
  </si>
  <si>
    <t>Phillip Palmer</t>
  </si>
  <si>
    <t>SRG</t>
  </si>
  <si>
    <t>international</t>
  </si>
  <si>
    <t>CIR</t>
  </si>
  <si>
    <t>87 008 292 920</t>
  </si>
  <si>
    <t>Fender Geophysics Pty Ltd</t>
  </si>
  <si>
    <t>Andrew Sloot</t>
  </si>
  <si>
    <t>RAMA Geoscience</t>
  </si>
  <si>
    <t>Rob Angus</t>
  </si>
  <si>
    <t>No</t>
  </si>
  <si>
    <t>Yes</t>
  </si>
  <si>
    <t>Mackey Geophysics</t>
  </si>
  <si>
    <t>Campbell Mackey</t>
  </si>
  <si>
    <t>Gap Geophysics Australia Pty Ltd</t>
  </si>
  <si>
    <t>Malcolm Cattach</t>
  </si>
  <si>
    <t>Department for Manufacturing, Innovation, Trade, Resources and Energy</t>
  </si>
  <si>
    <t>Associate L1</t>
  </si>
  <si>
    <t>Laz Katona</t>
  </si>
  <si>
    <t>FEN</t>
  </si>
  <si>
    <t>84 100 867 865</t>
  </si>
  <si>
    <t>RAM</t>
  </si>
  <si>
    <t>57 824 239 320</t>
  </si>
  <si>
    <t>GAP</t>
  </si>
  <si>
    <t>67 116 407 580</t>
  </si>
  <si>
    <t>DMI</t>
  </si>
  <si>
    <t>83 524 915 929</t>
  </si>
  <si>
    <t>Membership Level</t>
  </si>
  <si>
    <t>MKY</t>
  </si>
  <si>
    <t>67 991 341 161</t>
  </si>
  <si>
    <t>Total Revenue</t>
  </si>
  <si>
    <t>Category</t>
  </si>
  <si>
    <t>Registration</t>
  </si>
  <si>
    <t>Marketing</t>
  </si>
  <si>
    <t>Guidelines</t>
  </si>
  <si>
    <t>Qtr</t>
  </si>
  <si>
    <t>Other</t>
  </si>
  <si>
    <t>Member Support</t>
  </si>
  <si>
    <t>Amount</t>
  </si>
  <si>
    <t>Account</t>
  </si>
  <si>
    <t>Deposit</t>
  </si>
  <si>
    <t>Interest</t>
  </si>
  <si>
    <t>Total Expenses</t>
  </si>
  <si>
    <t>Quarter</t>
  </si>
  <si>
    <t>A/R Invoices Paid</t>
  </si>
  <si>
    <t>Electromagnetic Imaging Technology Pty Ltd</t>
  </si>
  <si>
    <t>Andrew Duncan</t>
  </si>
  <si>
    <t>EMT</t>
  </si>
  <si>
    <t>70 009 413 441</t>
  </si>
  <si>
    <t>Alexander Copeland</t>
  </si>
  <si>
    <t>97 008 143 093</t>
  </si>
  <si>
    <t>Search Exploration Services Pty Ltd</t>
  </si>
  <si>
    <t>SES</t>
  </si>
  <si>
    <t>GHD</t>
  </si>
  <si>
    <t>Zivko Terzic</t>
  </si>
  <si>
    <t>39 008 488 373</t>
  </si>
  <si>
    <t>Comment</t>
  </si>
  <si>
    <t>Reserve</t>
  </si>
  <si>
    <t>Bank Reconciliation at</t>
  </si>
  <si>
    <t>Balance of Funds</t>
  </si>
  <si>
    <t>GAU</t>
  </si>
  <si>
    <t>Geoscience Australia</t>
  </si>
  <si>
    <t>Aki Nakamura</t>
  </si>
  <si>
    <t>Discovery International Geophysics Inc</t>
  </si>
  <si>
    <t>Dennis Woods</t>
  </si>
  <si>
    <t>DIS</t>
  </si>
  <si>
    <t>80 091 799 039</t>
  </si>
  <si>
    <t>ARC</t>
  </si>
  <si>
    <t>Arctan Services Pty Ltd</t>
  </si>
  <si>
    <t>Steve Collins</t>
  </si>
  <si>
    <t>46 002 948 361</t>
  </si>
  <si>
    <t>MMG</t>
  </si>
  <si>
    <t>MMG Ltd</t>
  </si>
  <si>
    <t>Richard Macrae</t>
  </si>
  <si>
    <t>31 150 889 151</t>
  </si>
  <si>
    <t>Difference</t>
  </si>
  <si>
    <t>GDD</t>
  </si>
  <si>
    <t>GDD Ltd</t>
  </si>
  <si>
    <t>Pierre Gaucher</t>
  </si>
  <si>
    <t>DAI</t>
  </si>
  <si>
    <t>Daishsat</t>
  </si>
  <si>
    <t>74 372 381 268</t>
  </si>
  <si>
    <t>Anglo American</t>
  </si>
  <si>
    <t>Michael Webb</t>
  </si>
  <si>
    <t>ANA</t>
  </si>
  <si>
    <t>20 006 195 982</t>
  </si>
  <si>
    <t>DBI</t>
  </si>
  <si>
    <t>69 981 208 782</t>
  </si>
  <si>
    <t>Department for State Development, Business and Innovation</t>
  </si>
  <si>
    <t>ZZR</t>
  </si>
  <si>
    <t>ZZ Resistivity Imaging Pty Ltd</t>
  </si>
  <si>
    <t>Jing Ping Zhe</t>
  </si>
  <si>
    <t>42 103 151 364</t>
  </si>
  <si>
    <t>Active L2</t>
  </si>
  <si>
    <t>Address</t>
  </si>
  <si>
    <t>Suburb</t>
  </si>
  <si>
    <t>State</t>
  </si>
  <si>
    <t>Postcode</t>
  </si>
  <si>
    <t>PO Box 475</t>
  </si>
  <si>
    <t>Como</t>
  </si>
  <si>
    <t>WA</t>
  </si>
  <si>
    <t>Email</t>
  </si>
  <si>
    <t>mike.webb@angloamerican.com</t>
  </si>
  <si>
    <t>9 Marshall Ave</t>
  </si>
  <si>
    <t>Warrawee</t>
  </si>
  <si>
    <t>NSW</t>
  </si>
  <si>
    <t>scollins@arctan.com.au</t>
  </si>
  <si>
    <t>Phone</t>
  </si>
  <si>
    <t>02 9489 6836</t>
  </si>
  <si>
    <t>08 6250 8100</t>
  </si>
  <si>
    <t>PO Box 3221</t>
  </si>
  <si>
    <t>Malaga</t>
  </si>
  <si>
    <t>kathlene.oliver@cgg.com</t>
  </si>
  <si>
    <t>08 9219 6601</t>
  </si>
  <si>
    <t>8 Edwards Ave</t>
  </si>
  <si>
    <t>Normanville</t>
  </si>
  <si>
    <t>SA</t>
  </si>
  <si>
    <t>cirapl@ozemail.com.au</t>
  </si>
  <si>
    <t>08 8558 3555</t>
  </si>
  <si>
    <t>PO Box 766</t>
  </si>
  <si>
    <t>Murray Bridge</t>
  </si>
  <si>
    <t>david.daish@daishsat.com</t>
  </si>
  <si>
    <t>08 8531 0349</t>
  </si>
  <si>
    <t>Level 4, 101 Grenfell St</t>
  </si>
  <si>
    <t>Adeliade</t>
  </si>
  <si>
    <t>laz.katona@sa.gov.au</t>
  </si>
  <si>
    <t>08 8204 2853</t>
  </si>
  <si>
    <t>GPO Box 4509</t>
  </si>
  <si>
    <t>Melbourne</t>
  </si>
  <si>
    <t>VIC</t>
  </si>
  <si>
    <t>03 9207 4438</t>
  </si>
  <si>
    <t>147 Robin Cresent</t>
  </si>
  <si>
    <t>Saskatoon</t>
  </si>
  <si>
    <t>SK, Canada</t>
  </si>
  <si>
    <t>S7L 6M3</t>
  </si>
  <si>
    <t>dennis.woods@discogeo.com</t>
  </si>
  <si>
    <t xml:space="preserve"> +1 604 538 0900</t>
  </si>
  <si>
    <t>6/9 The Avenue</t>
  </si>
  <si>
    <t>Midland</t>
  </si>
  <si>
    <t>aduncan@electromag.com.au</t>
  </si>
  <si>
    <t>08 9250 8100</t>
  </si>
  <si>
    <t>Suite 203 / 283 Alfred St</t>
  </si>
  <si>
    <t>North Sydney</t>
  </si>
  <si>
    <t>andrew.sloot@fendergeophysics.com.au</t>
  </si>
  <si>
    <t>02 8920 3252</t>
  </si>
  <si>
    <t>PO Box 3789</t>
  </si>
  <si>
    <t>South Brisbane</t>
  </si>
  <si>
    <t>QLD</t>
  </si>
  <si>
    <t>mcattach@gapgeo.com</t>
  </si>
  <si>
    <t>07 3846 0999</t>
  </si>
  <si>
    <t>GPO Box 378</t>
  </si>
  <si>
    <t>Canberra</t>
  </si>
  <si>
    <t>ACT</t>
  </si>
  <si>
    <t>aki.nakamura@ga.gov.au</t>
  </si>
  <si>
    <t>02 6249 9614</t>
  </si>
  <si>
    <t>Level 8 / 180 Lonsdale St</t>
  </si>
  <si>
    <t>zivko.terzic@ghd.com</t>
  </si>
  <si>
    <t>03 8687 8783</t>
  </si>
  <si>
    <t>4 Hehir St</t>
  </si>
  <si>
    <t>Belmont</t>
  </si>
  <si>
    <t>katherine.mckenna@gpxsurveys.com.au</t>
  </si>
  <si>
    <t>08 9477 5111</t>
  </si>
  <si>
    <t>Sponsor</t>
  </si>
  <si>
    <t>Level 23 / 28 Freshwater Place</t>
  </si>
  <si>
    <t>Southbank</t>
  </si>
  <si>
    <t>richard.macrae@mmg.com</t>
  </si>
  <si>
    <t>03 9288 9150</t>
  </si>
  <si>
    <t>Building 1, 747 Lytton Rd</t>
  </si>
  <si>
    <t>Murrarrie</t>
  </si>
  <si>
    <t>campbellmackay1969@gmail.com</t>
  </si>
  <si>
    <t>07 3117 3200</t>
  </si>
  <si>
    <t>75 Jensen Rd</t>
  </si>
  <si>
    <t>Ninderry</t>
  </si>
  <si>
    <t>rob@ramageoscience.com.au</t>
  </si>
  <si>
    <t>07 5446 8380</t>
  </si>
  <si>
    <t>49 William St</t>
  </si>
  <si>
    <t>Norwood</t>
  </si>
  <si>
    <t>alex@searchex.com.au</t>
  </si>
  <si>
    <t>08 8364 3835</t>
  </si>
  <si>
    <t>Eduardo Orchard 1351</t>
  </si>
  <si>
    <t>Antofagasta</t>
  </si>
  <si>
    <t>Chile</t>
  </si>
  <si>
    <t>jeremy.barrett@srgeophysics.com</t>
  </si>
  <si>
    <t xml:space="preserve"> +56 2 2242 9021</t>
  </si>
  <si>
    <t>39 Raglan Ave</t>
  </si>
  <si>
    <t>Edwardstown</t>
  </si>
  <si>
    <t>kjkeates@zonge.com.au</t>
  </si>
  <si>
    <t>08 8371 0020</t>
  </si>
  <si>
    <t>411 North East Rd</t>
  </si>
  <si>
    <t>Hillcrest</t>
  </si>
  <si>
    <t>jzhe@zzgeo.com</t>
  </si>
  <si>
    <t>08 8261 0527</t>
  </si>
  <si>
    <t>1 Research Ave</t>
  </si>
  <si>
    <t>Bundoora</t>
  </si>
  <si>
    <t>theo.aravanis@riotinto.com</t>
  </si>
  <si>
    <t>Level 13 / 44 St Georges Tce</t>
  </si>
  <si>
    <t>Perth</t>
  </si>
  <si>
    <t>08 9425 4600</t>
  </si>
  <si>
    <t>kmartin@anglogoldashanti.com.au</t>
  </si>
  <si>
    <t>Dan Roycroft</t>
  </si>
  <si>
    <t>350 Prince Henry Drive</t>
  </si>
  <si>
    <t>Toowoomba</t>
  </si>
  <si>
    <t>dan.roycroft@planetarygeophysics.com.au</t>
  </si>
  <si>
    <t>07 4638 9001</t>
  </si>
  <si>
    <t>PLT</t>
  </si>
  <si>
    <t>Planetary Geophysics Pty Ltd</t>
  </si>
  <si>
    <t>33 116 647 646</t>
  </si>
  <si>
    <t xml:space="preserve">Consolidated Minerals </t>
  </si>
  <si>
    <t>Gemma King</t>
  </si>
  <si>
    <t>CON</t>
  </si>
  <si>
    <t>PO Box 1220</t>
  </si>
  <si>
    <t>West Perth</t>
  </si>
  <si>
    <t>glking@consminerals.com.au</t>
  </si>
  <si>
    <t>08 9460 7197</t>
  </si>
  <si>
    <t>85 000 727 926</t>
  </si>
  <si>
    <t>HUD</t>
  </si>
  <si>
    <t>Hudbay Minerals</t>
  </si>
  <si>
    <t>Peter Dueck</t>
  </si>
  <si>
    <t>1 Company Road</t>
  </si>
  <si>
    <t>Flin Flan</t>
  </si>
  <si>
    <t>Manitoba, Canada</t>
  </si>
  <si>
    <t>28A 1N9</t>
  </si>
  <si>
    <t>peter.dueck@hudbayminerals.com</t>
  </si>
  <si>
    <t xml:space="preserve"> +1 204 687 2123</t>
  </si>
  <si>
    <t>ATL</t>
  </si>
  <si>
    <t>Atlas Geophysics</t>
  </si>
  <si>
    <t>Bryce Humphrey</t>
  </si>
  <si>
    <t>68 123 110 243</t>
  </si>
  <si>
    <t>PO Box 1049</t>
  </si>
  <si>
    <t>Morley</t>
  </si>
  <si>
    <t>bryce.humphrey@atlasgeo.com.au</t>
  </si>
  <si>
    <t>08 6278 2898</t>
  </si>
  <si>
    <t>CSI</t>
  </si>
  <si>
    <t>CSIRO</t>
  </si>
  <si>
    <t>Kevin Cahill</t>
  </si>
  <si>
    <t>26 Dick Perry Avenue</t>
  </si>
  <si>
    <t>kevin.cahill@csiro.au</t>
  </si>
  <si>
    <t>08 6436 8673</t>
  </si>
  <si>
    <t>Kensington</t>
  </si>
  <si>
    <t>41 687 119 230</t>
  </si>
  <si>
    <t>Doug Hancock is principal point of contact at Hudbay for e-comms</t>
  </si>
  <si>
    <t>info@atlasgeo.com.au main distribution email</t>
  </si>
  <si>
    <t>Gem Geophysics</t>
  </si>
  <si>
    <t>Ben Morgan</t>
  </si>
  <si>
    <t xml:space="preserve">8 Water View </t>
  </si>
  <si>
    <t>Bouvard</t>
  </si>
  <si>
    <t>ben@gemgeophysics.com.au</t>
  </si>
  <si>
    <t>08 9739 2011</t>
  </si>
  <si>
    <t xml:space="preserve">also register morganbj50@iinet.net.au </t>
  </si>
  <si>
    <t>GEM</t>
  </si>
  <si>
    <t>87 585 817 439</t>
  </si>
  <si>
    <t>Paypal</t>
  </si>
  <si>
    <t>DPI</t>
  </si>
  <si>
    <t>David Robson</t>
  </si>
  <si>
    <t xml:space="preserve">PO Box 344, </t>
  </si>
  <si>
    <t>Hunter Region Mail Centre</t>
  </si>
  <si>
    <t>david.robson@trade.nsw.gov.au</t>
  </si>
  <si>
    <t>Allan Perry</t>
  </si>
  <si>
    <t>PO Box 3215</t>
  </si>
  <si>
    <t>Lesmurdie</t>
  </si>
  <si>
    <t>allan@vortexgeophysics.com.au</t>
  </si>
  <si>
    <t>46 681 307 987</t>
  </si>
  <si>
    <t>Vortex Geophysics Pty Ltd</t>
  </si>
  <si>
    <t>VOR</t>
  </si>
  <si>
    <t>Fortescue Metals Group</t>
  </si>
  <si>
    <t>Regis Neroni</t>
  </si>
  <si>
    <t>Level 2, 87 Adelaide Tce</t>
  </si>
  <si>
    <t>East Perth</t>
  </si>
  <si>
    <t>rneroni@fmgl.com.au</t>
  </si>
  <si>
    <t>FMG</t>
  </si>
  <si>
    <t>57 002 594 872</t>
  </si>
  <si>
    <t>Dias Geophysical Limited</t>
  </si>
  <si>
    <t>Johnathan Rudd</t>
  </si>
  <si>
    <t>25/9/2014</t>
  </si>
  <si>
    <t>26/9/2014</t>
  </si>
  <si>
    <t>N3C 3Y4</t>
  </si>
  <si>
    <t>jrudd.gpx@gmail.com</t>
  </si>
  <si>
    <t xml:space="preserve"> +1 416 795 1263</t>
  </si>
  <si>
    <t>19/9/2014</t>
  </si>
  <si>
    <t>Cameco Corporation</t>
  </si>
  <si>
    <t>Garnet Woods</t>
  </si>
  <si>
    <t>2121 11th St W</t>
  </si>
  <si>
    <t>Saskatoon, Saskatchewan</t>
  </si>
  <si>
    <t>Canada</t>
  </si>
  <si>
    <t>S7M1J3</t>
  </si>
  <si>
    <t>garnet_wood@cameco.com</t>
  </si>
  <si>
    <t xml:space="preserve"> +1 306 956 6349</t>
  </si>
  <si>
    <t>mobile: +1 306 241 5112</t>
  </si>
  <si>
    <t>Teck Resources</t>
  </si>
  <si>
    <t>Joel Jansen</t>
  </si>
  <si>
    <t>3300-550 Burrard St</t>
  </si>
  <si>
    <t>Vancouver</t>
  </si>
  <si>
    <t>BC, Canada</t>
  </si>
  <si>
    <t>V6C0B3</t>
  </si>
  <si>
    <t>joel.jansen@teck.com</t>
  </si>
  <si>
    <t xml:space="preserve"> +1 604 699 4000</t>
  </si>
  <si>
    <t>paid</t>
  </si>
  <si>
    <t>Statistics</t>
  </si>
  <si>
    <t>Organisation Name</t>
  </si>
  <si>
    <t>Membership Details</t>
  </si>
  <si>
    <t>Date Membership Application Received</t>
  </si>
  <si>
    <t>Membership Status</t>
  </si>
  <si>
    <t>Cancelled</t>
  </si>
  <si>
    <t>2014 Date Invoiced</t>
  </si>
  <si>
    <t>2014 Invoice Number</t>
  </si>
  <si>
    <t>2014 Date Paid</t>
  </si>
  <si>
    <t>2015 Date Invoiced</t>
  </si>
  <si>
    <t>2015 Invoice Number</t>
  </si>
  <si>
    <t>2015 Date Paid</t>
  </si>
  <si>
    <t>Payment Details</t>
  </si>
  <si>
    <t>Contact Details - Membership &amp; Invoicing</t>
  </si>
  <si>
    <t>Technical Committee</t>
  </si>
  <si>
    <t>Technical Committee Contact Name</t>
  </si>
  <si>
    <t>Technical Committee Contact Email</t>
  </si>
  <si>
    <t>Safety Reporting System</t>
  </si>
  <si>
    <t>Debtor Code</t>
  </si>
  <si>
    <t>Membership Summary</t>
  </si>
  <si>
    <t>Active L1 Cancelled</t>
  </si>
  <si>
    <t>Associate L2 Cancelled</t>
  </si>
  <si>
    <t>NSW Department of Trade &amp; Investment, Resources &amp; Energy</t>
  </si>
  <si>
    <t>DIA</t>
  </si>
  <si>
    <t>CAM</t>
  </si>
  <si>
    <t>TEC</t>
  </si>
  <si>
    <t>Paid</t>
  </si>
  <si>
    <t>INVPP-0003</t>
  </si>
  <si>
    <t>INVPP-0004</t>
  </si>
  <si>
    <t>Membership cancelled</t>
  </si>
  <si>
    <t>1561a</t>
  </si>
  <si>
    <t>1561b</t>
  </si>
  <si>
    <t>54 Alona Avenue</t>
  </si>
  <si>
    <t>Cambridge</t>
  </si>
  <si>
    <t>Ontario, Canada</t>
  </si>
  <si>
    <t>Representative Contact Name</t>
  </si>
  <si>
    <t>GGSSA Accounts Receivable Invoice Register 2014-2015 Financial Year</t>
  </si>
  <si>
    <t>Contact Name</t>
  </si>
  <si>
    <t>Date Paid</t>
  </si>
  <si>
    <t>Note: Invoices 1537 &amp; 1546 do not exist (numbers missed)</t>
  </si>
  <si>
    <t>GGSSA Accounts Payable Invoice Register 2014-2015 Financial Year</t>
  </si>
  <si>
    <t>Paid Date</t>
  </si>
  <si>
    <t>GGSSA Interest and Fees Register 2014-2015 Financial Year</t>
  </si>
  <si>
    <t>Cash Reserve</t>
  </si>
  <si>
    <t>Paid by EFT from cheque acct</t>
  </si>
  <si>
    <t>Pragmaticus Research</t>
  </si>
  <si>
    <t>Aon Risk Services</t>
  </si>
  <si>
    <t>Insurance</t>
  </si>
  <si>
    <t>Tax Office</t>
  </si>
  <si>
    <t>Paid by Bpay from cheque acct</t>
  </si>
  <si>
    <t>Webserv</t>
  </si>
  <si>
    <t>2014-17</t>
  </si>
  <si>
    <t>ASIC</t>
  </si>
  <si>
    <t>GGSSA Membership List</t>
  </si>
  <si>
    <t>GGSSA Bank Reconciliation 2014-2015 Financial Year</t>
  </si>
  <si>
    <t>at 1/7/2014</t>
  </si>
  <si>
    <t>should be zero</t>
  </si>
  <si>
    <t>65 169 472 405</t>
  </si>
  <si>
    <t>Calculated closing balance</t>
  </si>
  <si>
    <t>David Daish</t>
  </si>
  <si>
    <t>Paul McDonald</t>
  </si>
  <si>
    <t>paul.a.mcdonald@dsdbi.vic.gov.au</t>
  </si>
  <si>
    <t>Accounts email</t>
  </si>
  <si>
    <t>accounts@gapgeo.com</t>
  </si>
  <si>
    <t>pgaucher@gddinstrumentation.com</t>
  </si>
  <si>
    <t>Doug Hancock</t>
  </si>
  <si>
    <t>doug.hancock@hudbayminerals.com</t>
  </si>
  <si>
    <t>Jeremy Barrett</t>
  </si>
  <si>
    <t>Brett Rose</t>
  </si>
  <si>
    <t>brrose@zonge.com.au</t>
  </si>
  <si>
    <t>Paid by EFT from cheque acct, second part payment of invoice 1.</t>
  </si>
  <si>
    <t>Opening balance</t>
  </si>
  <si>
    <t>Deposit (Cheque)</t>
  </si>
  <si>
    <t>at 30/6/2015</t>
  </si>
  <si>
    <t>Statement closing balance</t>
  </si>
  <si>
    <t>Bank Fees</t>
  </si>
  <si>
    <t>Website</t>
  </si>
  <si>
    <t>Options:</t>
  </si>
  <si>
    <t>Note: EBITDA = Earnings Before Interest Taxes Depreciation &amp; Amortisation</t>
  </si>
  <si>
    <t>GGSSA Provisional* Profit &amp; Loss Statement 2014-2015 Financial Year</t>
  </si>
  <si>
    <t>*subject to change by accountant</t>
  </si>
  <si>
    <t>Revenue (excludes GST)</t>
  </si>
  <si>
    <t>Expenses (excludes GST)</t>
  </si>
  <si>
    <t>GST for period ended 30 June 2014</t>
  </si>
  <si>
    <t>Total (=EBITDA+Interest)</t>
  </si>
  <si>
    <t>2014-2015</t>
  </si>
  <si>
    <t>Financial Year</t>
  </si>
  <si>
    <t>Next invoice due 2016</t>
  </si>
  <si>
    <t>Glenn Chubak &amp; Dennis Woods</t>
  </si>
  <si>
    <t>glenn.chubak@discogeo.com; dennis.woods@discogeo.com</t>
  </si>
  <si>
    <t>On SRS contact list?</t>
  </si>
  <si>
    <t>Remove? Due to non-participation</t>
  </si>
  <si>
    <t>Remove? Due to cancelled membership</t>
  </si>
  <si>
    <t>No - should be if they pay</t>
  </si>
  <si>
    <t>Credit/Debit</t>
  </si>
  <si>
    <t>Debit</t>
  </si>
  <si>
    <t>Credit</t>
  </si>
  <si>
    <t>EBITDA (=Revenue-Expenses)</t>
  </si>
  <si>
    <t>GGSSA BAS Calculations 2014-2015 Financial Year</t>
  </si>
  <si>
    <t>Accounts Receivable GST (GST received)</t>
  </si>
  <si>
    <t>Accounts Payable Total</t>
  </si>
  <si>
    <t>Accounts Payable GST (GST paid)</t>
  </si>
  <si>
    <t>GST amount due to ATO (=GST received-GST paid)</t>
  </si>
  <si>
    <t>Accounts Receivable Total (including GST)</t>
  </si>
  <si>
    <t>less A/P Invoices Paid</t>
  </si>
  <si>
    <t>less Bank &amp; Paypal Fees</t>
  </si>
  <si>
    <t>Profit /(Loss)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</si>
</sst>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;[Red]\(&quot;$&quot;#,##0.0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4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32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0" fillId="0" borderId="0" xfId="1" applyFont="1"/>
    <xf numFmtId="0" fontId="0" fillId="0" borderId="0" xfId="0" applyFill="1"/>
    <xf numFmtId="44" fontId="0" fillId="0" borderId="0" xfId="0" applyNumberFormat="1"/>
    <xf numFmtId="44" fontId="1" fillId="0" borderId="0" xfId="0" applyNumberFormat="1" applyFont="1"/>
    <xf numFmtId="44" fontId="6" fillId="0" borderId="0" xfId="0" applyNumberFormat="1" applyFont="1"/>
    <xf numFmtId="0" fontId="0" fillId="0" borderId="0" xfId="0" applyFont="1"/>
    <xf numFmtId="14" fontId="0" fillId="0" borderId="0" xfId="0" applyNumberFormat="1" applyFill="1"/>
    <xf numFmtId="1" fontId="0" fillId="0" borderId="0" xfId="0" applyNumberFormat="1"/>
    <xf numFmtId="1" fontId="1" fillId="0" borderId="0" xfId="0" applyNumberFormat="1" applyFont="1" applyAlignment="1">
      <alignment horizontal="center"/>
    </xf>
    <xf numFmtId="0" fontId="7" fillId="0" borderId="0" xfId="0" applyFont="1"/>
    <xf numFmtId="14" fontId="1" fillId="0" borderId="0" xfId="0" applyNumberFormat="1" applyFont="1"/>
    <xf numFmtId="0" fontId="0" fillId="0" borderId="0" xfId="0" applyNumberFormat="1"/>
    <xf numFmtId="44" fontId="8" fillId="0" borderId="0" xfId="0" applyNumberFormat="1" applyFont="1"/>
    <xf numFmtId="16" fontId="0" fillId="0" borderId="0" xfId="0" applyNumberFormat="1"/>
    <xf numFmtId="0" fontId="9" fillId="0" borderId="0" xfId="2"/>
    <xf numFmtId="0" fontId="0" fillId="2" borderId="0" xfId="0" applyFill="1"/>
    <xf numFmtId="0" fontId="0" fillId="0" borderId="0" xfId="0" applyAlignment="1">
      <alignment horizontal="right"/>
    </xf>
    <xf numFmtId="0" fontId="9" fillId="0" borderId="0" xfId="2" applyFill="1"/>
    <xf numFmtId="0" fontId="1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2" xfId="0" applyFill="1" applyBorder="1"/>
    <xf numFmtId="0" fontId="0" fillId="0" borderId="0" xfId="0" applyFill="1" applyBorder="1"/>
    <xf numFmtId="0" fontId="10" fillId="0" borderId="2" xfId="0" applyFont="1" applyBorder="1"/>
    <xf numFmtId="0" fontId="10" fillId="0" borderId="0" xfId="0" applyFont="1"/>
    <xf numFmtId="0" fontId="1" fillId="0" borderId="0" xfId="0" applyFont="1" applyAlignment="1">
      <alignment horizontal="right"/>
    </xf>
    <xf numFmtId="0" fontId="1" fillId="0" borderId="4" xfId="0" applyFont="1" applyBorder="1"/>
    <xf numFmtId="0" fontId="0" fillId="3" borderId="0" xfId="0" applyFill="1"/>
    <xf numFmtId="0" fontId="0" fillId="4" borderId="0" xfId="0" applyFill="1"/>
    <xf numFmtId="0" fontId="0" fillId="4" borderId="2" xfId="0" applyFill="1" applyBorder="1"/>
    <xf numFmtId="0" fontId="0" fillId="4" borderId="0" xfId="0" applyFill="1" applyBorder="1"/>
    <xf numFmtId="14" fontId="0" fillId="4" borderId="0" xfId="0" applyNumberFormat="1" applyFill="1"/>
    <xf numFmtId="0" fontId="9" fillId="4" borderId="0" xfId="2" applyFill="1"/>
    <xf numFmtId="0" fontId="0" fillId="4" borderId="0" xfId="0" applyFill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0" fillId="0" borderId="5" xfId="0" applyNumberFormat="1" applyBorder="1"/>
    <xf numFmtId="0" fontId="0" fillId="0" borderId="5" xfId="0" applyFill="1" applyBorder="1"/>
    <xf numFmtId="0" fontId="0" fillId="0" borderId="6" xfId="0" applyBorder="1"/>
    <xf numFmtId="0" fontId="0" fillId="0" borderId="5" xfId="0" applyBorder="1"/>
    <xf numFmtId="0" fontId="9" fillId="0" borderId="5" xfId="2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4" borderId="0" xfId="0" applyFill="1" applyBorder="1" applyAlignment="1">
      <alignment horizontal="center"/>
    </xf>
    <xf numFmtId="14" fontId="0" fillId="4" borderId="0" xfId="0" applyNumberFormat="1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0" xfId="0" applyNumberFormat="1" applyFill="1"/>
    <xf numFmtId="0" fontId="0" fillId="0" borderId="0" xfId="1" applyNumberFormat="1" applyFont="1" applyFill="1"/>
    <xf numFmtId="44" fontId="0" fillId="0" borderId="0" xfId="0" applyNumberFormat="1" applyAlignment="1">
      <alignment horizontal="left"/>
    </xf>
    <xf numFmtId="0" fontId="0" fillId="0" borderId="8" xfId="0" applyBorder="1"/>
    <xf numFmtId="14" fontId="0" fillId="0" borderId="0" xfId="0" applyNumberFormat="1" applyAlignment="1">
      <alignment horizontal="right"/>
    </xf>
    <xf numFmtId="0" fontId="9" fillId="0" borderId="0" xfId="2" applyFill="1" applyBorder="1"/>
    <xf numFmtId="44" fontId="9" fillId="0" borderId="0" xfId="2" applyNumberFormat="1" applyFill="1"/>
    <xf numFmtId="0" fontId="9" fillId="4" borderId="0" xfId="2" applyFill="1" applyBorder="1"/>
    <xf numFmtId="1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5" borderId="0" xfId="0" applyNumberFormat="1" applyFill="1" applyAlignment="1">
      <alignment horizontal="left"/>
    </xf>
    <xf numFmtId="0" fontId="0" fillId="5" borderId="0" xfId="0" applyFill="1"/>
    <xf numFmtId="0" fontId="0" fillId="5" borderId="2" xfId="0" applyFill="1" applyBorder="1"/>
    <xf numFmtId="0" fontId="0" fillId="5" borderId="0" xfId="0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14" fontId="0" fillId="5" borderId="3" xfId="0" applyNumberFormat="1" applyFill="1" applyBorder="1" applyAlignment="1">
      <alignment horizontal="center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0" fontId="0" fillId="5" borderId="3" xfId="0" applyFill="1" applyBorder="1" applyAlignment="1">
      <alignment horizontal="center"/>
    </xf>
    <xf numFmtId="0" fontId="9" fillId="5" borderId="0" xfId="2" applyFill="1"/>
    <xf numFmtId="0" fontId="0" fillId="5" borderId="0" xfId="0" applyFill="1" applyAlignment="1">
      <alignment horizontal="left"/>
    </xf>
    <xf numFmtId="14" fontId="0" fillId="6" borderId="0" xfId="0" applyNumberFormat="1" applyFill="1"/>
    <xf numFmtId="0" fontId="0" fillId="6" borderId="0" xfId="0" applyFill="1"/>
    <xf numFmtId="0" fontId="0" fillId="6" borderId="2" xfId="0" applyFill="1" applyBorder="1"/>
    <xf numFmtId="0" fontId="0" fillId="6" borderId="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14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9" fillId="6" borderId="0" xfId="2" applyFill="1"/>
    <xf numFmtId="0" fontId="7" fillId="6" borderId="0" xfId="0" applyFont="1" applyFill="1"/>
    <xf numFmtId="14" fontId="0" fillId="6" borderId="3" xfId="0" applyNumberFormat="1" applyFill="1" applyBorder="1" applyAlignment="1">
      <alignment horizontal="center"/>
    </xf>
    <xf numFmtId="14" fontId="7" fillId="0" borderId="3" xfId="0" applyNumberFormat="1" applyFont="1" applyFill="1" applyBorder="1" applyAlignment="1">
      <alignment horizontal="center"/>
    </xf>
    <xf numFmtId="14" fontId="0" fillId="4" borderId="0" xfId="0" applyNumberFormat="1" applyFill="1" applyAlignment="1">
      <alignment horizontal="left"/>
    </xf>
    <xf numFmtId="14" fontId="0" fillId="4" borderId="3" xfId="0" applyNumberFormat="1" applyFill="1" applyBorder="1" applyAlignment="1">
      <alignment horizontal="left"/>
    </xf>
    <xf numFmtId="0" fontId="10" fillId="0" borderId="9" xfId="0" applyFont="1" applyBorder="1"/>
    <xf numFmtId="0" fontId="1" fillId="0" borderId="10" xfId="0" applyFont="1" applyBorder="1" applyAlignment="1">
      <alignment horizontal="center" vertical="center" wrapText="1"/>
    </xf>
    <xf numFmtId="0" fontId="0" fillId="0" borderId="9" xfId="0" applyBorder="1"/>
    <xf numFmtId="0" fontId="0" fillId="5" borderId="9" xfId="0" applyFill="1" applyBorder="1"/>
    <xf numFmtId="0" fontId="0" fillId="4" borderId="9" xfId="0" applyFill="1" applyBorder="1"/>
    <xf numFmtId="0" fontId="0" fillId="6" borderId="9" xfId="0" applyFill="1" applyBorder="1"/>
    <xf numFmtId="0" fontId="0" fillId="0" borderId="9" xfId="0" applyFill="1" applyBorder="1"/>
    <xf numFmtId="0" fontId="0" fillId="0" borderId="10" xfId="0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0" fillId="0" borderId="2" xfId="0" applyNumberFormat="1" applyBorder="1"/>
    <xf numFmtId="164" fontId="0" fillId="0" borderId="0" xfId="1" applyNumberFormat="1" applyFont="1" applyFill="1"/>
    <xf numFmtId="164" fontId="0" fillId="0" borderId="0" xfId="1" applyNumberFormat="1" applyFont="1"/>
    <xf numFmtId="164" fontId="0" fillId="0" borderId="8" xfId="1" applyNumberFormat="1" applyFont="1" applyBorder="1"/>
    <xf numFmtId="164" fontId="10" fillId="0" borderId="0" xfId="1" applyNumberFormat="1" applyFont="1"/>
    <xf numFmtId="164" fontId="0" fillId="0" borderId="2" xfId="1" applyNumberFormat="1" applyFont="1" applyBorder="1"/>
    <xf numFmtId="0" fontId="1" fillId="0" borderId="8" xfId="0" applyFont="1" applyBorder="1"/>
    <xf numFmtId="164" fontId="0" fillId="0" borderId="0" xfId="0" applyNumberFormat="1"/>
    <xf numFmtId="164" fontId="0" fillId="0" borderId="2" xfId="0" applyNumberFormat="1" applyBorder="1"/>
    <xf numFmtId="164" fontId="1" fillId="0" borderId="8" xfId="0" applyNumberFormat="1" applyFont="1" applyBorder="1"/>
    <xf numFmtId="164" fontId="1" fillId="0" borderId="11" xfId="0" applyNumberFormat="1" applyFont="1" applyBorder="1"/>
    <xf numFmtId="0" fontId="0" fillId="2" borderId="0" xfId="0" applyFont="1" applyFill="1"/>
    <xf numFmtId="164" fontId="1" fillId="0" borderId="1" xfId="1" applyNumberFormat="1" applyFont="1" applyBorder="1"/>
    <xf numFmtId="164" fontId="0" fillId="0" borderId="0" xfId="0" applyNumberFormat="1" applyFill="1"/>
    <xf numFmtId="164" fontId="1" fillId="0" borderId="1" xfId="0" applyNumberFormat="1" applyFont="1" applyBorder="1"/>
    <xf numFmtId="164" fontId="1" fillId="0" borderId="8" xfId="1" applyNumberFormat="1" applyFont="1" applyBorder="1"/>
    <xf numFmtId="164" fontId="1" fillId="0" borderId="11" xfId="1" applyNumberFormat="1" applyFont="1" applyBorder="1"/>
    <xf numFmtId="0" fontId="1" fillId="0" borderId="12" xfId="0" applyFont="1" applyBorder="1"/>
    <xf numFmtId="164" fontId="1" fillId="0" borderId="12" xfId="1" applyNumberFormat="1" applyFont="1" applyBorder="1"/>
    <xf numFmtId="164" fontId="1" fillId="0" borderId="4" xfId="1" applyNumberFormat="1" applyFont="1" applyBorder="1"/>
    <xf numFmtId="0" fontId="1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6">
    <dxf>
      <font>
        <color rgb="FF9C0006"/>
      </font>
    </dxf>
    <dxf>
      <font>
        <b/>
        <i val="0"/>
        <color theme="8" tint="-0.2499465926084170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theme="8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duncan@electromag.com.au" TargetMode="External"/><Relationship Id="rId13" Type="http://schemas.openxmlformats.org/officeDocument/2006/relationships/hyperlink" Target="mailto:katherine.mckenna@gpxsurveys.com.au" TargetMode="External"/><Relationship Id="rId18" Type="http://schemas.openxmlformats.org/officeDocument/2006/relationships/hyperlink" Target="mailto:jeremy.barrett@srgeophysics.com" TargetMode="External"/><Relationship Id="rId26" Type="http://schemas.openxmlformats.org/officeDocument/2006/relationships/hyperlink" Target="mailto:bryce.humphrey@atlasgeo.com.au" TargetMode="External"/><Relationship Id="rId39" Type="http://schemas.openxmlformats.org/officeDocument/2006/relationships/hyperlink" Target="mailto:pgaucher@gddinstrumentation.com" TargetMode="External"/><Relationship Id="rId3" Type="http://schemas.openxmlformats.org/officeDocument/2006/relationships/hyperlink" Target="mailto:kathlene.oliver@cgg.com" TargetMode="External"/><Relationship Id="rId21" Type="http://schemas.openxmlformats.org/officeDocument/2006/relationships/hyperlink" Target="mailto:theo.aravanis@riotinto.com" TargetMode="External"/><Relationship Id="rId34" Type="http://schemas.openxmlformats.org/officeDocument/2006/relationships/hyperlink" Target="mailto:garnet_wood@cameco.com" TargetMode="External"/><Relationship Id="rId42" Type="http://schemas.openxmlformats.org/officeDocument/2006/relationships/printerSettings" Target="../printerSettings/printerSettings1.bin"/><Relationship Id="rId7" Type="http://schemas.openxmlformats.org/officeDocument/2006/relationships/hyperlink" Target="mailto:dennis.woods@discogeo.com" TargetMode="External"/><Relationship Id="rId12" Type="http://schemas.openxmlformats.org/officeDocument/2006/relationships/hyperlink" Target="mailto:zivko.terzic@ghd.com" TargetMode="External"/><Relationship Id="rId17" Type="http://schemas.openxmlformats.org/officeDocument/2006/relationships/hyperlink" Target="mailto:alex@searchex.com.au" TargetMode="External"/><Relationship Id="rId25" Type="http://schemas.openxmlformats.org/officeDocument/2006/relationships/hyperlink" Target="mailto:peter.dueck@hudbayminerals.com" TargetMode="External"/><Relationship Id="rId33" Type="http://schemas.openxmlformats.org/officeDocument/2006/relationships/hyperlink" Target="mailto:jrudd.gpx@gmail.com" TargetMode="External"/><Relationship Id="rId38" Type="http://schemas.openxmlformats.org/officeDocument/2006/relationships/hyperlink" Target="mailto:accounts@gapgeo.com" TargetMode="External"/><Relationship Id="rId2" Type="http://schemas.openxmlformats.org/officeDocument/2006/relationships/hyperlink" Target="mailto:scollins@arctan.com.au" TargetMode="External"/><Relationship Id="rId16" Type="http://schemas.openxmlformats.org/officeDocument/2006/relationships/hyperlink" Target="mailto:rob@ramageoscience.com.au" TargetMode="External"/><Relationship Id="rId20" Type="http://schemas.openxmlformats.org/officeDocument/2006/relationships/hyperlink" Target="mailto:jzhe@zzgeo.com" TargetMode="External"/><Relationship Id="rId29" Type="http://schemas.openxmlformats.org/officeDocument/2006/relationships/hyperlink" Target="mailto:ben@gemgeophysics.com.au" TargetMode="External"/><Relationship Id="rId41" Type="http://schemas.openxmlformats.org/officeDocument/2006/relationships/hyperlink" Target="mailto:brrose@zonge.com.au" TargetMode="External"/><Relationship Id="rId1" Type="http://schemas.openxmlformats.org/officeDocument/2006/relationships/hyperlink" Target="mailto:mike.webb@angloamerican.com" TargetMode="External"/><Relationship Id="rId6" Type="http://schemas.openxmlformats.org/officeDocument/2006/relationships/hyperlink" Target="mailto:laz.katona@sa.gov.au" TargetMode="External"/><Relationship Id="rId11" Type="http://schemas.openxmlformats.org/officeDocument/2006/relationships/hyperlink" Target="mailto:aki.nakamura@ga.gov.au" TargetMode="External"/><Relationship Id="rId24" Type="http://schemas.openxmlformats.org/officeDocument/2006/relationships/hyperlink" Target="mailto:glking@consminerals.com.au" TargetMode="External"/><Relationship Id="rId32" Type="http://schemas.openxmlformats.org/officeDocument/2006/relationships/hyperlink" Target="mailto:rneroni@fmgl.com.au" TargetMode="External"/><Relationship Id="rId37" Type="http://schemas.openxmlformats.org/officeDocument/2006/relationships/hyperlink" Target="mailto:glenn.chubak@discogeo.com" TargetMode="External"/><Relationship Id="rId40" Type="http://schemas.openxmlformats.org/officeDocument/2006/relationships/hyperlink" Target="mailto:doug.hancock@hudbayminerals.com" TargetMode="External"/><Relationship Id="rId5" Type="http://schemas.openxmlformats.org/officeDocument/2006/relationships/hyperlink" Target="mailto:david.daish@daishsat.com" TargetMode="External"/><Relationship Id="rId15" Type="http://schemas.openxmlformats.org/officeDocument/2006/relationships/hyperlink" Target="mailto:campbellmackay1969@gmail.com" TargetMode="External"/><Relationship Id="rId23" Type="http://schemas.openxmlformats.org/officeDocument/2006/relationships/hyperlink" Target="mailto:dan.roycroft@planetarygeophysics.com.au" TargetMode="External"/><Relationship Id="rId28" Type="http://schemas.openxmlformats.org/officeDocument/2006/relationships/hyperlink" Target="mailto:info@atlasgeo.com.au%20main%20distribution%20email" TargetMode="External"/><Relationship Id="rId36" Type="http://schemas.openxmlformats.org/officeDocument/2006/relationships/hyperlink" Target="mailto:paul.a.mcdonald@dsdbi.vic.gov.au" TargetMode="External"/><Relationship Id="rId10" Type="http://schemas.openxmlformats.org/officeDocument/2006/relationships/hyperlink" Target="mailto:mcattach@gapgeo.com" TargetMode="External"/><Relationship Id="rId19" Type="http://schemas.openxmlformats.org/officeDocument/2006/relationships/hyperlink" Target="mailto:kjkeates@zonge.com.au" TargetMode="External"/><Relationship Id="rId31" Type="http://schemas.openxmlformats.org/officeDocument/2006/relationships/hyperlink" Target="mailto:allan@vortexgeophysics.com.au" TargetMode="External"/><Relationship Id="rId44" Type="http://schemas.openxmlformats.org/officeDocument/2006/relationships/comments" Target="../comments1.xml"/><Relationship Id="rId4" Type="http://schemas.openxmlformats.org/officeDocument/2006/relationships/hyperlink" Target="mailto:cirapl@ozemail.com.au" TargetMode="External"/><Relationship Id="rId9" Type="http://schemas.openxmlformats.org/officeDocument/2006/relationships/hyperlink" Target="mailto:andrew.sloot@fendergeophysics.com.au" TargetMode="External"/><Relationship Id="rId14" Type="http://schemas.openxmlformats.org/officeDocument/2006/relationships/hyperlink" Target="mailto:richard.macrae@mmg.com" TargetMode="External"/><Relationship Id="rId22" Type="http://schemas.openxmlformats.org/officeDocument/2006/relationships/hyperlink" Target="mailto:kmartin@anglogoldashanti.com.au" TargetMode="External"/><Relationship Id="rId27" Type="http://schemas.openxmlformats.org/officeDocument/2006/relationships/hyperlink" Target="mailto:kevin.cahill@csiro.au" TargetMode="External"/><Relationship Id="rId30" Type="http://schemas.openxmlformats.org/officeDocument/2006/relationships/hyperlink" Target="mailto:david.robson@trade.nsw.gov.au" TargetMode="External"/><Relationship Id="rId35" Type="http://schemas.openxmlformats.org/officeDocument/2006/relationships/hyperlink" Target="mailto:joel.jansen@teck.com" TargetMode="External"/><Relationship Id="rId4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R48"/>
  <sheetViews>
    <sheetView zoomScaleNormal="100" workbookViewId="0"/>
  </sheetViews>
  <sheetFormatPr defaultRowHeight="15" x14ac:dyDescent="0.25"/>
  <cols>
    <col min="1" max="1" width="9.140625" style="5"/>
    <col min="2" max="2" width="67.85546875" customWidth="1"/>
    <col min="3" max="3" width="13.28515625" style="23" customWidth="1"/>
    <col min="4" max="4" width="12.5703125" style="24" customWidth="1"/>
    <col min="5" max="5" width="13.28515625" style="24" customWidth="1"/>
    <col min="6" max="6" width="14.85546875" style="25" customWidth="1"/>
    <col min="7" max="7" width="14.85546875" style="24" customWidth="1"/>
    <col min="8" max="12" width="14.85546875" customWidth="1"/>
    <col min="13" max="13" width="14.85546875" style="25" customWidth="1"/>
    <col min="14" max="14" width="20.28515625" customWidth="1"/>
    <col min="15" max="15" width="34.140625" customWidth="1"/>
    <col min="16" max="16" width="21.28515625" customWidth="1"/>
    <col min="17" max="19" width="9.140625" customWidth="1"/>
    <col min="20" max="20" width="39.28515625" customWidth="1"/>
    <col min="21" max="21" width="18.28515625" customWidth="1"/>
    <col min="22" max="22" width="59.5703125" customWidth="1"/>
    <col min="23" max="23" width="13.140625" style="23" customWidth="1"/>
    <col min="24" max="24" width="29.140625" customWidth="1"/>
    <col min="25" max="25" width="55.85546875" customWidth="1"/>
    <col min="26" max="26" width="23.28515625" style="103" customWidth="1"/>
    <col min="27" max="174" width="9.140625" style="5"/>
  </cols>
  <sheetData>
    <row r="1" spans="1:174" ht="18.75" x14ac:dyDescent="0.3">
      <c r="A1" s="3" t="s">
        <v>392</v>
      </c>
      <c r="C1" s="28" t="s">
        <v>341</v>
      </c>
      <c r="G1" s="29" t="s">
        <v>351</v>
      </c>
      <c r="N1" s="29" t="s">
        <v>352</v>
      </c>
      <c r="W1" s="28" t="s">
        <v>353</v>
      </c>
      <c r="Z1" s="101" t="s">
        <v>356</v>
      </c>
    </row>
    <row r="2" spans="1:174" s="39" customFormat="1" ht="60.75" thickBot="1" x14ac:dyDescent="0.3">
      <c r="A2" s="39" t="s">
        <v>357</v>
      </c>
      <c r="B2" s="39" t="s">
        <v>340</v>
      </c>
      <c r="C2" s="40" t="s">
        <v>69</v>
      </c>
      <c r="D2" s="39" t="s">
        <v>343</v>
      </c>
      <c r="E2" s="39" t="s">
        <v>342</v>
      </c>
      <c r="F2" s="41" t="s">
        <v>38</v>
      </c>
      <c r="G2" s="39" t="s">
        <v>3</v>
      </c>
      <c r="H2" s="39" t="s">
        <v>345</v>
      </c>
      <c r="I2" s="39" t="s">
        <v>346</v>
      </c>
      <c r="J2" s="39" t="s">
        <v>347</v>
      </c>
      <c r="K2" s="39" t="s">
        <v>348</v>
      </c>
      <c r="L2" s="39" t="s">
        <v>349</v>
      </c>
      <c r="M2" s="41" t="s">
        <v>350</v>
      </c>
      <c r="N2" s="39" t="s">
        <v>374</v>
      </c>
      <c r="O2" s="39" t="s">
        <v>136</v>
      </c>
      <c r="P2" s="39" t="s">
        <v>137</v>
      </c>
      <c r="Q2" s="39" t="s">
        <v>138</v>
      </c>
      <c r="R2" s="39" t="s">
        <v>139</v>
      </c>
      <c r="S2" s="39" t="s">
        <v>401</v>
      </c>
      <c r="T2" s="39" t="s">
        <v>143</v>
      </c>
      <c r="U2" s="39" t="s">
        <v>149</v>
      </c>
      <c r="V2" s="39" t="s">
        <v>98</v>
      </c>
      <c r="W2" s="40" t="s">
        <v>353</v>
      </c>
      <c r="X2" s="39" t="s">
        <v>354</v>
      </c>
      <c r="Y2" s="39" t="s">
        <v>355</v>
      </c>
      <c r="Z2" s="102" t="s">
        <v>429</v>
      </c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</row>
    <row r="3" spans="1:174" x14ac:dyDescent="0.25">
      <c r="A3" s="1" t="s">
        <v>126</v>
      </c>
      <c r="B3" t="s">
        <v>124</v>
      </c>
      <c r="C3" s="23" t="s">
        <v>59</v>
      </c>
      <c r="D3" s="48" t="s">
        <v>37</v>
      </c>
      <c r="E3" s="49">
        <v>41619</v>
      </c>
      <c r="F3" s="50">
        <v>41619</v>
      </c>
      <c r="G3" s="51" t="s">
        <v>127</v>
      </c>
      <c r="H3" s="53">
        <v>41619</v>
      </c>
      <c r="I3" s="62">
        <v>22</v>
      </c>
      <c r="J3" s="53">
        <v>41627</v>
      </c>
      <c r="K3" s="53">
        <v>42094</v>
      </c>
      <c r="L3" s="62">
        <v>1554</v>
      </c>
      <c r="M3" s="61"/>
      <c r="N3" s="122" t="s">
        <v>125</v>
      </c>
      <c r="O3" t="s">
        <v>140</v>
      </c>
      <c r="P3" t="s">
        <v>141</v>
      </c>
      <c r="Q3" t="s">
        <v>142</v>
      </c>
      <c r="R3">
        <v>6152</v>
      </c>
      <c r="T3" s="18" t="s">
        <v>144</v>
      </c>
      <c r="U3" t="s">
        <v>151</v>
      </c>
      <c r="W3" s="23" t="s">
        <v>52</v>
      </c>
      <c r="Z3" s="103" t="s">
        <v>52</v>
      </c>
    </row>
    <row r="4" spans="1:174" x14ac:dyDescent="0.25">
      <c r="A4" s="1" t="s">
        <v>31</v>
      </c>
      <c r="B4" t="s">
        <v>6</v>
      </c>
      <c r="C4" s="23" t="s">
        <v>204</v>
      </c>
      <c r="D4" s="48" t="s">
        <v>37</v>
      </c>
      <c r="E4" s="49">
        <v>41520</v>
      </c>
      <c r="F4" s="50">
        <v>41520</v>
      </c>
      <c r="G4" s="52" t="s">
        <v>17</v>
      </c>
      <c r="H4" s="53">
        <v>41506</v>
      </c>
      <c r="I4" s="62">
        <v>2</v>
      </c>
      <c r="J4" s="53">
        <v>41535</v>
      </c>
      <c r="K4" s="53"/>
      <c r="L4" s="62" t="s">
        <v>426</v>
      </c>
      <c r="M4" s="61"/>
      <c r="N4" t="s">
        <v>16</v>
      </c>
      <c r="O4" t="s">
        <v>237</v>
      </c>
      <c r="P4" t="s">
        <v>238</v>
      </c>
      <c r="Q4" t="s">
        <v>142</v>
      </c>
      <c r="R4">
        <v>6000</v>
      </c>
      <c r="T4" s="18" t="s">
        <v>240</v>
      </c>
      <c r="U4" t="s">
        <v>239</v>
      </c>
      <c r="W4" s="23" t="s">
        <v>52</v>
      </c>
      <c r="Z4" s="103" t="s">
        <v>52</v>
      </c>
    </row>
    <row r="5" spans="1:174" x14ac:dyDescent="0.25">
      <c r="A5" s="1" t="s">
        <v>109</v>
      </c>
      <c r="B5" t="s">
        <v>110</v>
      </c>
      <c r="C5" s="23" t="s">
        <v>42</v>
      </c>
      <c r="D5" s="48" t="s">
        <v>37</v>
      </c>
      <c r="E5" s="49">
        <v>41606</v>
      </c>
      <c r="F5" s="50">
        <v>41603</v>
      </c>
      <c r="G5" s="51" t="s">
        <v>112</v>
      </c>
      <c r="H5" s="53">
        <v>41606</v>
      </c>
      <c r="I5" s="62">
        <v>18</v>
      </c>
      <c r="J5" s="53">
        <v>41607</v>
      </c>
      <c r="K5" s="53">
        <v>42094</v>
      </c>
      <c r="L5" s="62">
        <v>1547</v>
      </c>
      <c r="M5" s="61">
        <v>42104</v>
      </c>
      <c r="N5" t="s">
        <v>111</v>
      </c>
      <c r="O5" t="s">
        <v>145</v>
      </c>
      <c r="P5" t="s">
        <v>146</v>
      </c>
      <c r="Q5" t="s">
        <v>147</v>
      </c>
      <c r="R5">
        <v>2074</v>
      </c>
      <c r="T5" s="18" t="s">
        <v>148</v>
      </c>
      <c r="U5" t="s">
        <v>150</v>
      </c>
      <c r="W5" s="23" t="s">
        <v>52</v>
      </c>
      <c r="Z5" s="103" t="s">
        <v>52</v>
      </c>
    </row>
    <row r="6" spans="1:174" x14ac:dyDescent="0.25">
      <c r="A6" s="1" t="s">
        <v>266</v>
      </c>
      <c r="B6" s="5" t="s">
        <v>267</v>
      </c>
      <c r="C6" s="23" t="s">
        <v>59</v>
      </c>
      <c r="D6" s="48" t="s">
        <v>37</v>
      </c>
      <c r="E6" s="49">
        <v>41719</v>
      </c>
      <c r="F6" s="50">
        <v>41723</v>
      </c>
      <c r="G6" s="51" t="s">
        <v>269</v>
      </c>
      <c r="H6" s="53">
        <v>41719</v>
      </c>
      <c r="I6" s="62">
        <v>27</v>
      </c>
      <c r="J6" s="53">
        <v>41760</v>
      </c>
      <c r="K6" s="53">
        <v>42094</v>
      </c>
      <c r="L6" s="62">
        <v>1559</v>
      </c>
      <c r="M6" s="61"/>
      <c r="N6" t="s">
        <v>268</v>
      </c>
      <c r="O6" t="s">
        <v>270</v>
      </c>
      <c r="P6" t="s">
        <v>271</v>
      </c>
      <c r="Q6" t="s">
        <v>142</v>
      </c>
      <c r="R6">
        <v>6943</v>
      </c>
      <c r="T6" s="18" t="s">
        <v>272</v>
      </c>
      <c r="U6" t="s">
        <v>273</v>
      </c>
      <c r="V6" s="18" t="s">
        <v>283</v>
      </c>
      <c r="W6" s="23" t="s">
        <v>52</v>
      </c>
      <c r="Z6" s="103" t="s">
        <v>52</v>
      </c>
    </row>
    <row r="7" spans="1:174" s="78" customFormat="1" x14ac:dyDescent="0.25">
      <c r="A7" s="77" t="s">
        <v>363</v>
      </c>
      <c r="B7" s="78" t="s">
        <v>321</v>
      </c>
      <c r="C7" s="79" t="s">
        <v>42</v>
      </c>
      <c r="D7" s="80" t="s">
        <v>37</v>
      </c>
      <c r="E7" s="81">
        <v>41708</v>
      </c>
      <c r="F7" s="82">
        <v>41708</v>
      </c>
      <c r="G7" s="83" t="s">
        <v>45</v>
      </c>
      <c r="H7" s="84">
        <v>41769</v>
      </c>
      <c r="I7" s="83">
        <v>33</v>
      </c>
      <c r="J7" s="83"/>
      <c r="K7" s="83"/>
      <c r="L7" s="83"/>
      <c r="M7" s="85"/>
      <c r="N7" s="78" t="s">
        <v>322</v>
      </c>
      <c r="O7" s="78" t="s">
        <v>323</v>
      </c>
      <c r="P7" s="78" t="s">
        <v>324</v>
      </c>
      <c r="Q7" s="78" t="s">
        <v>325</v>
      </c>
      <c r="R7" s="78" t="s">
        <v>326</v>
      </c>
      <c r="T7" s="86" t="s">
        <v>327</v>
      </c>
      <c r="U7" s="78" t="s">
        <v>328</v>
      </c>
      <c r="V7" s="78" t="s">
        <v>329</v>
      </c>
      <c r="W7" s="79" t="s">
        <v>52</v>
      </c>
      <c r="Z7" s="104" t="s">
        <v>52</v>
      </c>
    </row>
    <row r="8" spans="1:174" s="33" customFormat="1" x14ac:dyDescent="0.25">
      <c r="A8" s="36" t="s">
        <v>34</v>
      </c>
      <c r="B8" s="33" t="s">
        <v>25</v>
      </c>
      <c r="C8" s="34" t="s">
        <v>359</v>
      </c>
      <c r="D8" s="54" t="s">
        <v>344</v>
      </c>
      <c r="E8" s="55">
        <v>41512</v>
      </c>
      <c r="F8" s="56">
        <v>41512</v>
      </c>
      <c r="G8" s="57" t="s">
        <v>27</v>
      </c>
      <c r="H8" s="58">
        <v>41512</v>
      </c>
      <c r="I8" s="57">
        <v>5</v>
      </c>
      <c r="J8" s="58">
        <v>41549</v>
      </c>
      <c r="K8" s="99" t="s">
        <v>368</v>
      </c>
      <c r="L8" s="57"/>
      <c r="M8" s="56"/>
      <c r="N8" s="33" t="s">
        <v>26</v>
      </c>
      <c r="O8" s="33" t="s">
        <v>152</v>
      </c>
      <c r="P8" s="33" t="s">
        <v>153</v>
      </c>
      <c r="Q8" s="33" t="s">
        <v>142</v>
      </c>
      <c r="R8" s="33">
        <v>6945</v>
      </c>
      <c r="T8" s="37" t="s">
        <v>154</v>
      </c>
      <c r="U8" s="33" t="s">
        <v>155</v>
      </c>
      <c r="W8" s="34" t="s">
        <v>52</v>
      </c>
      <c r="Z8" s="105" t="s">
        <v>52</v>
      </c>
    </row>
    <row r="9" spans="1:174" x14ac:dyDescent="0.25">
      <c r="A9" s="1" t="s">
        <v>46</v>
      </c>
      <c r="B9" s="5" t="s">
        <v>41</v>
      </c>
      <c r="C9" s="23" t="s">
        <v>42</v>
      </c>
      <c r="D9" s="48" t="s">
        <v>37</v>
      </c>
      <c r="E9" s="49">
        <v>41519</v>
      </c>
      <c r="F9" s="50">
        <v>41520</v>
      </c>
      <c r="G9" s="51" t="s">
        <v>47</v>
      </c>
      <c r="H9" s="53">
        <v>41521</v>
      </c>
      <c r="I9" s="62">
        <v>8</v>
      </c>
      <c r="J9" s="53">
        <v>41529</v>
      </c>
      <c r="K9" s="53">
        <v>42094</v>
      </c>
      <c r="L9" s="62">
        <v>1538</v>
      </c>
      <c r="M9" s="61">
        <v>42139</v>
      </c>
      <c r="N9" t="s">
        <v>43</v>
      </c>
      <c r="O9" t="s">
        <v>156</v>
      </c>
      <c r="P9" t="s">
        <v>157</v>
      </c>
      <c r="Q9" t="s">
        <v>158</v>
      </c>
      <c r="R9">
        <v>5204</v>
      </c>
      <c r="T9" s="18" t="s">
        <v>159</v>
      </c>
      <c r="U9" t="s">
        <v>160</v>
      </c>
      <c r="W9" s="23" t="s">
        <v>52</v>
      </c>
      <c r="Z9" s="103" t="s">
        <v>52</v>
      </c>
    </row>
    <row r="10" spans="1:174" x14ac:dyDescent="0.25">
      <c r="A10" s="1" t="s">
        <v>251</v>
      </c>
      <c r="B10" s="5" t="s">
        <v>249</v>
      </c>
      <c r="C10" s="23" t="s">
        <v>59</v>
      </c>
      <c r="D10" s="48" t="s">
        <v>37</v>
      </c>
      <c r="E10" s="49">
        <v>41691</v>
      </c>
      <c r="F10" s="50">
        <v>41694</v>
      </c>
      <c r="G10" s="51" t="s">
        <v>256</v>
      </c>
      <c r="H10" s="53">
        <v>41716</v>
      </c>
      <c r="I10" s="62">
        <v>26</v>
      </c>
      <c r="J10" s="53">
        <v>41759</v>
      </c>
      <c r="K10" s="53">
        <v>42094</v>
      </c>
      <c r="L10" s="62">
        <v>1558</v>
      </c>
      <c r="M10" s="61"/>
      <c r="N10" t="s">
        <v>250</v>
      </c>
      <c r="O10" t="s">
        <v>252</v>
      </c>
      <c r="P10" t="s">
        <v>253</v>
      </c>
      <c r="Q10" t="s">
        <v>142</v>
      </c>
      <c r="R10">
        <v>6872</v>
      </c>
      <c r="T10" s="18" t="s">
        <v>254</v>
      </c>
      <c r="U10" t="s">
        <v>255</v>
      </c>
      <c r="W10" s="23" t="s">
        <v>52</v>
      </c>
      <c r="Z10" s="103" t="s">
        <v>52</v>
      </c>
    </row>
    <row r="11" spans="1:174" x14ac:dyDescent="0.25">
      <c r="A11" s="1" t="s">
        <v>274</v>
      </c>
      <c r="B11" s="5" t="s">
        <v>275</v>
      </c>
      <c r="C11" s="23" t="s">
        <v>135</v>
      </c>
      <c r="D11" s="48" t="s">
        <v>37</v>
      </c>
      <c r="E11" s="49">
        <v>41722</v>
      </c>
      <c r="F11" s="50">
        <v>41722</v>
      </c>
      <c r="G11" s="51" t="s">
        <v>281</v>
      </c>
      <c r="H11" s="53">
        <v>41723</v>
      </c>
      <c r="I11" s="62" t="s">
        <v>367</v>
      </c>
      <c r="J11" s="53">
        <v>41732</v>
      </c>
      <c r="K11" s="53">
        <v>42094</v>
      </c>
      <c r="L11" s="62">
        <v>1560</v>
      </c>
      <c r="M11" s="61"/>
      <c r="N11" t="s">
        <v>276</v>
      </c>
      <c r="O11" t="s">
        <v>277</v>
      </c>
      <c r="P11" t="s">
        <v>280</v>
      </c>
      <c r="Q11" t="s">
        <v>142</v>
      </c>
      <c r="R11">
        <v>6151</v>
      </c>
      <c r="T11" s="18" t="s">
        <v>278</v>
      </c>
      <c r="U11" t="s">
        <v>279</v>
      </c>
      <c r="W11" s="23" t="s">
        <v>52</v>
      </c>
      <c r="Z11" s="103" t="s">
        <v>53</v>
      </c>
    </row>
    <row r="12" spans="1:174" x14ac:dyDescent="0.25">
      <c r="A12" s="1" t="s">
        <v>121</v>
      </c>
      <c r="B12" t="s">
        <v>122</v>
      </c>
      <c r="C12" s="23" t="s">
        <v>59</v>
      </c>
      <c r="D12" s="48" t="s">
        <v>37</v>
      </c>
      <c r="E12" s="49">
        <v>41617</v>
      </c>
      <c r="F12" s="50">
        <v>41617</v>
      </c>
      <c r="G12" s="51" t="s">
        <v>123</v>
      </c>
      <c r="H12" s="53">
        <v>41617</v>
      </c>
      <c r="I12" s="62">
        <v>21</v>
      </c>
      <c r="J12" s="53">
        <v>41628</v>
      </c>
      <c r="K12" s="53">
        <v>42094</v>
      </c>
      <c r="L12" s="62">
        <v>1553</v>
      </c>
      <c r="M12" s="61"/>
      <c r="N12" t="s">
        <v>398</v>
      </c>
      <c r="O12" t="s">
        <v>161</v>
      </c>
      <c r="P12" t="s">
        <v>162</v>
      </c>
      <c r="Q12" t="s">
        <v>158</v>
      </c>
      <c r="R12">
        <v>5253</v>
      </c>
      <c r="T12" s="18" t="s">
        <v>163</v>
      </c>
      <c r="U12" t="s">
        <v>164</v>
      </c>
      <c r="W12" s="26" t="s">
        <v>52</v>
      </c>
      <c r="X12" s="5"/>
      <c r="Y12" s="5"/>
      <c r="Z12" s="103" t="s">
        <v>52</v>
      </c>
    </row>
    <row r="13" spans="1:174" x14ac:dyDescent="0.25">
      <c r="A13" s="1" t="s">
        <v>67</v>
      </c>
      <c r="B13" t="s">
        <v>58</v>
      </c>
      <c r="C13" s="23" t="s">
        <v>59</v>
      </c>
      <c r="D13" s="48" t="s">
        <v>37</v>
      </c>
      <c r="E13" s="49">
        <v>41528</v>
      </c>
      <c r="F13" s="50">
        <v>41534</v>
      </c>
      <c r="G13" s="51" t="s">
        <v>68</v>
      </c>
      <c r="H13" s="53">
        <v>41534</v>
      </c>
      <c r="I13" s="62">
        <v>12</v>
      </c>
      <c r="J13" s="53">
        <v>41549</v>
      </c>
      <c r="K13" s="53">
        <v>42094</v>
      </c>
      <c r="L13" s="62">
        <v>1542</v>
      </c>
      <c r="M13" s="61"/>
      <c r="N13" t="s">
        <v>60</v>
      </c>
      <c r="O13" t="s">
        <v>165</v>
      </c>
      <c r="P13" t="s">
        <v>166</v>
      </c>
      <c r="Q13" t="s">
        <v>158</v>
      </c>
      <c r="R13">
        <v>5000</v>
      </c>
      <c r="T13" s="18" t="s">
        <v>167</v>
      </c>
      <c r="U13" t="s">
        <v>168</v>
      </c>
      <c r="W13" s="26" t="s">
        <v>52</v>
      </c>
      <c r="X13" s="5"/>
      <c r="Y13" s="21"/>
      <c r="Z13" s="103" t="s">
        <v>52</v>
      </c>
    </row>
    <row r="14" spans="1:174" x14ac:dyDescent="0.25">
      <c r="A14" s="1" t="s">
        <v>128</v>
      </c>
      <c r="B14" s="5" t="s">
        <v>130</v>
      </c>
      <c r="C14" s="23" t="s">
        <v>59</v>
      </c>
      <c r="D14" s="48" t="s">
        <v>37</v>
      </c>
      <c r="E14" s="49">
        <v>41619</v>
      </c>
      <c r="F14" s="50">
        <v>41619</v>
      </c>
      <c r="G14" s="51" t="s">
        <v>129</v>
      </c>
      <c r="H14" s="53">
        <v>41619</v>
      </c>
      <c r="I14" s="62">
        <v>23</v>
      </c>
      <c r="J14" s="53">
        <v>41667</v>
      </c>
      <c r="K14" s="53">
        <v>42094</v>
      </c>
      <c r="L14" s="62">
        <v>1555</v>
      </c>
      <c r="M14" s="61"/>
      <c r="N14" s="5" t="s">
        <v>399</v>
      </c>
      <c r="O14" t="s">
        <v>169</v>
      </c>
      <c r="P14" t="s">
        <v>170</v>
      </c>
      <c r="Q14" t="s">
        <v>171</v>
      </c>
      <c r="R14">
        <v>3001</v>
      </c>
      <c r="T14" s="18" t="s">
        <v>400</v>
      </c>
      <c r="U14" t="s">
        <v>172</v>
      </c>
      <c r="W14" s="26" t="s">
        <v>52</v>
      </c>
      <c r="X14" s="27"/>
      <c r="Y14" s="21"/>
      <c r="Z14" s="103" t="s">
        <v>52</v>
      </c>
    </row>
    <row r="15" spans="1:174" s="78" customFormat="1" x14ac:dyDescent="0.25">
      <c r="A15" s="87" t="s">
        <v>362</v>
      </c>
      <c r="B15" s="78" t="s">
        <v>313</v>
      </c>
      <c r="C15" s="79" t="s">
        <v>135</v>
      </c>
      <c r="D15" s="80" t="s">
        <v>37</v>
      </c>
      <c r="E15" s="80" t="s">
        <v>320</v>
      </c>
      <c r="F15" s="85" t="s">
        <v>315</v>
      </c>
      <c r="G15" s="83" t="s">
        <v>45</v>
      </c>
      <c r="H15" s="83" t="s">
        <v>316</v>
      </c>
      <c r="I15" s="83">
        <v>32</v>
      </c>
      <c r="J15" s="83"/>
      <c r="K15" s="83"/>
      <c r="L15" s="83"/>
      <c r="M15" s="85"/>
      <c r="N15" s="78" t="s">
        <v>314</v>
      </c>
      <c r="O15" s="78" t="s">
        <v>371</v>
      </c>
      <c r="P15" s="78" t="s">
        <v>372</v>
      </c>
      <c r="Q15" s="78" t="s">
        <v>373</v>
      </c>
      <c r="R15" s="78" t="s">
        <v>317</v>
      </c>
      <c r="T15" s="86" t="s">
        <v>318</v>
      </c>
      <c r="U15" s="78" t="s">
        <v>319</v>
      </c>
      <c r="W15" s="79" t="s">
        <v>52</v>
      </c>
      <c r="Z15" s="104" t="s">
        <v>432</v>
      </c>
    </row>
    <row r="16" spans="1:174" x14ac:dyDescent="0.25">
      <c r="A16" s="1" t="s">
        <v>107</v>
      </c>
      <c r="B16" t="s">
        <v>105</v>
      </c>
      <c r="C16" s="23" t="s">
        <v>39</v>
      </c>
      <c r="D16" s="48" t="s">
        <v>37</v>
      </c>
      <c r="E16" s="49">
        <v>41596</v>
      </c>
      <c r="F16" s="50">
        <v>41603</v>
      </c>
      <c r="G16" s="51" t="s">
        <v>45</v>
      </c>
      <c r="H16" s="53">
        <v>41606</v>
      </c>
      <c r="I16" s="62">
        <v>17</v>
      </c>
      <c r="J16" s="53">
        <v>41722</v>
      </c>
      <c r="K16" s="53">
        <v>42094</v>
      </c>
      <c r="L16" s="62">
        <v>1551</v>
      </c>
      <c r="M16" s="61"/>
      <c r="N16" t="s">
        <v>106</v>
      </c>
      <c r="O16" t="s">
        <v>173</v>
      </c>
      <c r="P16" t="s">
        <v>174</v>
      </c>
      <c r="Q16" t="s">
        <v>175</v>
      </c>
      <c r="R16" t="s">
        <v>176</v>
      </c>
      <c r="T16" s="18" t="s">
        <v>177</v>
      </c>
      <c r="U16" t="s">
        <v>178</v>
      </c>
      <c r="W16" s="23" t="s">
        <v>53</v>
      </c>
      <c r="X16" s="27" t="s">
        <v>427</v>
      </c>
      <c r="Y16" s="71" t="s">
        <v>428</v>
      </c>
      <c r="Z16" s="103" t="s">
        <v>53</v>
      </c>
    </row>
    <row r="17" spans="1:26" x14ac:dyDescent="0.25">
      <c r="A17" s="1" t="s">
        <v>89</v>
      </c>
      <c r="B17" t="s">
        <v>87</v>
      </c>
      <c r="C17" s="23" t="s">
        <v>59</v>
      </c>
      <c r="D17" s="48" t="s">
        <v>37</v>
      </c>
      <c r="E17" s="49">
        <v>41571</v>
      </c>
      <c r="F17" s="50">
        <v>41575</v>
      </c>
      <c r="G17" s="51" t="s">
        <v>90</v>
      </c>
      <c r="H17" s="53">
        <v>41575</v>
      </c>
      <c r="I17" s="62">
        <v>14</v>
      </c>
      <c r="J17" s="53">
        <v>41586</v>
      </c>
      <c r="K17" s="53">
        <v>42094</v>
      </c>
      <c r="L17" s="62">
        <v>1543</v>
      </c>
      <c r="M17" s="61">
        <v>42116</v>
      </c>
      <c r="N17" t="s">
        <v>88</v>
      </c>
      <c r="O17" t="s">
        <v>179</v>
      </c>
      <c r="P17" t="s">
        <v>180</v>
      </c>
      <c r="Q17" t="s">
        <v>142</v>
      </c>
      <c r="R17">
        <v>6056</v>
      </c>
      <c r="T17" s="18" t="s">
        <v>181</v>
      </c>
      <c r="U17" t="s">
        <v>182</v>
      </c>
      <c r="W17" s="23" t="s">
        <v>52</v>
      </c>
      <c r="Z17" s="103" t="s">
        <v>52</v>
      </c>
    </row>
    <row r="18" spans="1:26" x14ac:dyDescent="0.25">
      <c r="A18" s="1" t="s">
        <v>61</v>
      </c>
      <c r="B18" s="5" t="s">
        <v>48</v>
      </c>
      <c r="C18" s="23" t="s">
        <v>39</v>
      </c>
      <c r="D18" s="48" t="s">
        <v>37</v>
      </c>
      <c r="E18" s="49">
        <v>41520</v>
      </c>
      <c r="F18" s="50">
        <v>41534</v>
      </c>
      <c r="G18" s="51" t="s">
        <v>62</v>
      </c>
      <c r="H18" s="53">
        <v>41534</v>
      </c>
      <c r="I18" s="62">
        <v>9</v>
      </c>
      <c r="J18" s="53">
        <v>41632</v>
      </c>
      <c r="K18" s="53">
        <v>42094</v>
      </c>
      <c r="L18" s="62">
        <v>1539</v>
      </c>
      <c r="M18" s="61"/>
      <c r="N18" t="s">
        <v>49</v>
      </c>
      <c r="O18" s="17" t="s">
        <v>183</v>
      </c>
      <c r="P18" t="s">
        <v>184</v>
      </c>
      <c r="Q18" t="s">
        <v>147</v>
      </c>
      <c r="R18">
        <v>2060</v>
      </c>
      <c r="T18" s="18" t="s">
        <v>185</v>
      </c>
      <c r="U18" t="s">
        <v>186</v>
      </c>
      <c r="W18" s="23" t="s">
        <v>53</v>
      </c>
      <c r="X18" t="str">
        <f>N18</f>
        <v>Andrew Sloot</v>
      </c>
      <c r="Y18" t="str">
        <f>T18</f>
        <v>andrew.sloot@fendergeophysics.com.au</v>
      </c>
      <c r="Z18" s="103" t="s">
        <v>53</v>
      </c>
    </row>
    <row r="19" spans="1:26" s="89" customFormat="1" x14ac:dyDescent="0.25">
      <c r="A19" s="88" t="s">
        <v>311</v>
      </c>
      <c r="B19" s="89" t="s">
        <v>306</v>
      </c>
      <c r="C19" s="90" t="s">
        <v>204</v>
      </c>
      <c r="D19" s="91" t="s">
        <v>37</v>
      </c>
      <c r="E19" s="91"/>
      <c r="F19" s="92"/>
      <c r="G19" s="93" t="s">
        <v>312</v>
      </c>
      <c r="H19" s="93">
        <v>41794</v>
      </c>
      <c r="I19" s="94">
        <v>30</v>
      </c>
      <c r="J19" s="93"/>
      <c r="K19" s="94"/>
      <c r="L19" s="94"/>
      <c r="M19" s="92"/>
      <c r="N19" s="89" t="s">
        <v>307</v>
      </c>
      <c r="O19" s="89" t="s">
        <v>308</v>
      </c>
      <c r="P19" s="89" t="s">
        <v>309</v>
      </c>
      <c r="Q19" s="89" t="s">
        <v>142</v>
      </c>
      <c r="R19" s="89">
        <v>6004</v>
      </c>
      <c r="T19" s="95" t="s">
        <v>310</v>
      </c>
      <c r="W19" s="90" t="s">
        <v>53</v>
      </c>
      <c r="X19" s="89" t="str">
        <f>N19</f>
        <v>Regis Neroni</v>
      </c>
      <c r="Y19" s="89" t="str">
        <f>T19</f>
        <v>rneroni@fmgl.com.au</v>
      </c>
      <c r="Z19" s="106" t="s">
        <v>52</v>
      </c>
    </row>
    <row r="20" spans="1:26" x14ac:dyDescent="0.25">
      <c r="A20" s="1" t="s">
        <v>65</v>
      </c>
      <c r="B20" t="s">
        <v>56</v>
      </c>
      <c r="C20" s="23" t="s">
        <v>39</v>
      </c>
      <c r="D20" s="48" t="s">
        <v>37</v>
      </c>
      <c r="E20" s="49">
        <v>41521</v>
      </c>
      <c r="F20" s="50">
        <v>41534</v>
      </c>
      <c r="G20" s="51" t="s">
        <v>66</v>
      </c>
      <c r="H20" s="53">
        <v>41534</v>
      </c>
      <c r="I20" s="62">
        <v>11</v>
      </c>
      <c r="J20" s="53">
        <v>41541</v>
      </c>
      <c r="K20" s="53">
        <v>42094</v>
      </c>
      <c r="L20" s="62">
        <v>1541</v>
      </c>
      <c r="M20" s="61">
        <v>42138</v>
      </c>
      <c r="N20" t="s">
        <v>57</v>
      </c>
      <c r="O20" t="s">
        <v>187</v>
      </c>
      <c r="P20" t="s">
        <v>188</v>
      </c>
      <c r="Q20" t="s">
        <v>189</v>
      </c>
      <c r="R20">
        <v>4101</v>
      </c>
      <c r="S20" s="18" t="s">
        <v>402</v>
      </c>
      <c r="T20" s="18" t="s">
        <v>190</v>
      </c>
      <c r="U20" t="s">
        <v>191</v>
      </c>
      <c r="W20" s="23" t="s">
        <v>53</v>
      </c>
      <c r="X20" t="str">
        <f>N20</f>
        <v>Malcolm Cattach</v>
      </c>
      <c r="Y20" t="str">
        <f>T20</f>
        <v>mcattach@gapgeo.com</v>
      </c>
      <c r="Z20" s="103" t="s">
        <v>53</v>
      </c>
    </row>
    <row r="21" spans="1:26" x14ac:dyDescent="0.25">
      <c r="A21" s="1" t="s">
        <v>118</v>
      </c>
      <c r="B21" s="13" t="s">
        <v>119</v>
      </c>
      <c r="C21" s="23" t="s">
        <v>59</v>
      </c>
      <c r="D21" s="48" t="s">
        <v>37</v>
      </c>
      <c r="E21" s="49">
        <v>41614</v>
      </c>
      <c r="F21" s="50">
        <v>41614</v>
      </c>
      <c r="G21" s="51" t="s">
        <v>45</v>
      </c>
      <c r="H21" s="53">
        <v>41614</v>
      </c>
      <c r="I21" s="62">
        <v>20</v>
      </c>
      <c r="J21" s="53">
        <v>41711</v>
      </c>
      <c r="K21" s="53">
        <v>42094</v>
      </c>
      <c r="L21" s="62">
        <v>1552</v>
      </c>
      <c r="M21" s="61"/>
      <c r="N21" t="s">
        <v>120</v>
      </c>
      <c r="T21" s="18" t="s">
        <v>403</v>
      </c>
      <c r="W21" s="23" t="s">
        <v>52</v>
      </c>
      <c r="Z21" s="103" t="s">
        <v>52</v>
      </c>
    </row>
    <row r="22" spans="1:26" x14ac:dyDescent="0.25">
      <c r="A22" s="1" t="s">
        <v>291</v>
      </c>
      <c r="B22" s="5" t="s">
        <v>284</v>
      </c>
      <c r="C22" s="23" t="s">
        <v>39</v>
      </c>
      <c r="D22" s="48" t="s">
        <v>37</v>
      </c>
      <c r="E22" s="49">
        <v>41737</v>
      </c>
      <c r="F22" s="50">
        <v>41738</v>
      </c>
      <c r="G22" s="51" t="s">
        <v>292</v>
      </c>
      <c r="H22" s="53">
        <v>41738</v>
      </c>
      <c r="I22" s="62">
        <v>28</v>
      </c>
      <c r="J22" s="53">
        <v>41743</v>
      </c>
      <c r="K22" s="53">
        <v>42094</v>
      </c>
      <c r="L22" s="62" t="s">
        <v>370</v>
      </c>
      <c r="M22" s="61"/>
      <c r="N22" t="s">
        <v>285</v>
      </c>
      <c r="O22" t="s">
        <v>286</v>
      </c>
      <c r="P22" t="s">
        <v>287</v>
      </c>
      <c r="Q22" t="s">
        <v>142</v>
      </c>
      <c r="R22">
        <v>6211</v>
      </c>
      <c r="T22" s="18" t="s">
        <v>288</v>
      </c>
      <c r="U22" t="s">
        <v>289</v>
      </c>
      <c r="V22" t="s">
        <v>290</v>
      </c>
      <c r="W22" s="23" t="s">
        <v>52</v>
      </c>
      <c r="Z22" s="103" t="s">
        <v>53</v>
      </c>
    </row>
    <row r="23" spans="1:26" x14ac:dyDescent="0.25">
      <c r="A23" s="1" t="s">
        <v>102</v>
      </c>
      <c r="B23" t="s">
        <v>103</v>
      </c>
      <c r="C23" s="23" t="s">
        <v>59</v>
      </c>
      <c r="D23" s="48" t="s">
        <v>37</v>
      </c>
      <c r="E23" s="49">
        <v>41596</v>
      </c>
      <c r="F23" s="50">
        <v>41596</v>
      </c>
      <c r="G23" s="51" t="s">
        <v>108</v>
      </c>
      <c r="H23" s="53">
        <v>41597</v>
      </c>
      <c r="I23" s="62">
        <v>16</v>
      </c>
      <c r="J23" s="53">
        <v>41605</v>
      </c>
      <c r="K23" s="53">
        <v>42094</v>
      </c>
      <c r="L23" s="62">
        <v>1545</v>
      </c>
      <c r="M23" s="61">
        <v>42124</v>
      </c>
      <c r="N23" t="s">
        <v>104</v>
      </c>
      <c r="O23" t="s">
        <v>192</v>
      </c>
      <c r="P23" t="s">
        <v>193</v>
      </c>
      <c r="Q23" t="s">
        <v>194</v>
      </c>
      <c r="R23">
        <v>2601</v>
      </c>
      <c r="T23" s="18" t="s">
        <v>195</v>
      </c>
      <c r="U23" t="s">
        <v>196</v>
      </c>
      <c r="W23" s="23" t="s">
        <v>52</v>
      </c>
      <c r="Z23" s="103" t="s">
        <v>52</v>
      </c>
    </row>
    <row r="24" spans="1:26" x14ac:dyDescent="0.25">
      <c r="A24" s="1" t="s">
        <v>95</v>
      </c>
      <c r="B24" t="s">
        <v>95</v>
      </c>
      <c r="C24" s="23" t="s">
        <v>59</v>
      </c>
      <c r="D24" s="48" t="s">
        <v>37</v>
      </c>
      <c r="E24" s="49">
        <v>41586</v>
      </c>
      <c r="F24" s="50">
        <v>41586</v>
      </c>
      <c r="G24" s="51" t="s">
        <v>97</v>
      </c>
      <c r="H24" s="53">
        <v>41586</v>
      </c>
      <c r="I24" s="62">
        <v>15</v>
      </c>
      <c r="J24" s="53">
        <v>41628</v>
      </c>
      <c r="K24" s="53">
        <v>42094</v>
      </c>
      <c r="L24" s="62">
        <v>1544</v>
      </c>
      <c r="M24" s="61">
        <v>42193</v>
      </c>
      <c r="N24" t="s">
        <v>96</v>
      </c>
      <c r="O24" t="s">
        <v>197</v>
      </c>
      <c r="P24" t="s">
        <v>170</v>
      </c>
      <c r="Q24" t="s">
        <v>171</v>
      </c>
      <c r="R24">
        <v>3000</v>
      </c>
      <c r="T24" s="18" t="s">
        <v>198</v>
      </c>
      <c r="U24" t="s">
        <v>199</v>
      </c>
      <c r="W24" s="23" t="s">
        <v>52</v>
      </c>
      <c r="Z24" s="103" t="s">
        <v>52</v>
      </c>
    </row>
    <row r="25" spans="1:26" s="33" customFormat="1" x14ac:dyDescent="0.25">
      <c r="A25" s="36" t="s">
        <v>32</v>
      </c>
      <c r="B25" s="33" t="s">
        <v>22</v>
      </c>
      <c r="C25" s="34" t="s">
        <v>39</v>
      </c>
      <c r="D25" s="54" t="s">
        <v>344</v>
      </c>
      <c r="E25" s="55">
        <v>41530</v>
      </c>
      <c r="F25" s="56">
        <v>41512</v>
      </c>
      <c r="G25" s="57" t="s">
        <v>29</v>
      </c>
      <c r="H25" s="58">
        <v>41512</v>
      </c>
      <c r="I25" s="57">
        <v>3</v>
      </c>
      <c r="J25" s="58">
        <v>41646</v>
      </c>
      <c r="K25" s="58">
        <v>42094</v>
      </c>
      <c r="L25" s="57">
        <v>1549</v>
      </c>
      <c r="M25" s="100" t="s">
        <v>368</v>
      </c>
      <c r="N25" s="33" t="s">
        <v>23</v>
      </c>
      <c r="O25" s="33" t="s">
        <v>200</v>
      </c>
      <c r="P25" s="33" t="s">
        <v>201</v>
      </c>
      <c r="Q25" s="33" t="s">
        <v>142</v>
      </c>
      <c r="R25" s="33">
        <v>6104</v>
      </c>
      <c r="T25" s="37" t="s">
        <v>202</v>
      </c>
      <c r="U25" s="33" t="s">
        <v>203</v>
      </c>
      <c r="W25" s="34" t="s">
        <v>52</v>
      </c>
      <c r="X25" s="35"/>
      <c r="Y25" s="73"/>
      <c r="Z25" s="105" t="s">
        <v>431</v>
      </c>
    </row>
    <row r="26" spans="1:26" x14ac:dyDescent="0.25">
      <c r="A26" s="1" t="s">
        <v>257</v>
      </c>
      <c r="B26" s="5" t="s">
        <v>258</v>
      </c>
      <c r="C26" s="23" t="s">
        <v>204</v>
      </c>
      <c r="D26" s="48" t="s">
        <v>37</v>
      </c>
      <c r="E26" s="49">
        <v>41712</v>
      </c>
      <c r="F26" s="50">
        <v>41712</v>
      </c>
      <c r="G26" s="51" t="s">
        <v>45</v>
      </c>
      <c r="H26" s="53">
        <v>41712</v>
      </c>
      <c r="I26" s="62" t="s">
        <v>366</v>
      </c>
      <c r="J26" s="53">
        <v>41758</v>
      </c>
      <c r="K26" s="53"/>
      <c r="L26" s="62" t="s">
        <v>426</v>
      </c>
      <c r="M26" s="61"/>
      <c r="N26" t="s">
        <v>404</v>
      </c>
      <c r="O26" t="s">
        <v>260</v>
      </c>
      <c r="P26" t="s">
        <v>261</v>
      </c>
      <c r="Q26" t="s">
        <v>262</v>
      </c>
      <c r="R26" t="s">
        <v>263</v>
      </c>
      <c r="T26" s="18" t="s">
        <v>405</v>
      </c>
      <c r="U26" t="s">
        <v>265</v>
      </c>
      <c r="V26" t="s">
        <v>282</v>
      </c>
      <c r="W26" s="23" t="s">
        <v>53</v>
      </c>
      <c r="X26" t="s">
        <v>259</v>
      </c>
      <c r="Y26" s="18" t="s">
        <v>264</v>
      </c>
      <c r="Z26" s="103" t="s">
        <v>52</v>
      </c>
    </row>
    <row r="27" spans="1:26" s="33" customFormat="1" x14ac:dyDescent="0.25">
      <c r="A27" s="36" t="s">
        <v>70</v>
      </c>
      <c r="B27" s="33" t="s">
        <v>54</v>
      </c>
      <c r="C27" s="34" t="s">
        <v>360</v>
      </c>
      <c r="D27" s="54" t="s">
        <v>344</v>
      </c>
      <c r="E27" s="55">
        <v>41521</v>
      </c>
      <c r="F27" s="56">
        <v>41534</v>
      </c>
      <c r="G27" s="58" t="s">
        <v>71</v>
      </c>
      <c r="H27" s="58">
        <v>41535</v>
      </c>
      <c r="I27" s="57">
        <v>13</v>
      </c>
      <c r="J27" s="58">
        <v>41541</v>
      </c>
      <c r="K27" s="99" t="s">
        <v>368</v>
      </c>
      <c r="L27" s="57"/>
      <c r="M27" s="56"/>
      <c r="N27" s="33" t="s">
        <v>55</v>
      </c>
      <c r="O27" s="33" t="s">
        <v>209</v>
      </c>
      <c r="P27" s="33" t="s">
        <v>210</v>
      </c>
      <c r="Q27" s="33" t="s">
        <v>189</v>
      </c>
      <c r="R27" s="33">
        <v>4179</v>
      </c>
      <c r="T27" s="37" t="s">
        <v>211</v>
      </c>
      <c r="U27" s="33" t="s">
        <v>212</v>
      </c>
      <c r="W27" s="34" t="s">
        <v>53</v>
      </c>
      <c r="X27" s="33" t="str">
        <f>N27</f>
        <v>Campbell Mackey</v>
      </c>
      <c r="Y27" s="33" t="str">
        <f>T27</f>
        <v>campbellmackay1969@gmail.com</v>
      </c>
      <c r="Z27" s="105" t="s">
        <v>52</v>
      </c>
    </row>
    <row r="28" spans="1:26" x14ac:dyDescent="0.25">
      <c r="A28" s="1" t="s">
        <v>113</v>
      </c>
      <c r="B28" s="13" t="s">
        <v>114</v>
      </c>
      <c r="C28" s="23" t="s">
        <v>204</v>
      </c>
      <c r="D28" s="48" t="s">
        <v>37</v>
      </c>
      <c r="E28" s="49">
        <v>41614</v>
      </c>
      <c r="F28" s="50">
        <v>41614</v>
      </c>
      <c r="G28" s="51" t="s">
        <v>116</v>
      </c>
      <c r="H28" s="53">
        <v>41614</v>
      </c>
      <c r="I28" s="62">
        <v>19</v>
      </c>
      <c r="J28" s="53">
        <v>41654</v>
      </c>
      <c r="K28" s="53"/>
      <c r="L28" s="62" t="s">
        <v>426</v>
      </c>
      <c r="M28" s="61"/>
      <c r="N28" s="19" t="s">
        <v>115</v>
      </c>
      <c r="O28" t="s">
        <v>205</v>
      </c>
      <c r="P28" t="s">
        <v>206</v>
      </c>
      <c r="Q28" t="s">
        <v>171</v>
      </c>
      <c r="R28">
        <v>3006</v>
      </c>
      <c r="T28" s="18" t="s">
        <v>207</v>
      </c>
      <c r="U28" t="s">
        <v>208</v>
      </c>
      <c r="W28" s="23" t="s">
        <v>52</v>
      </c>
      <c r="Z28" s="103" t="s">
        <v>52</v>
      </c>
    </row>
    <row r="29" spans="1:26" s="89" customFormat="1" x14ac:dyDescent="0.25">
      <c r="A29" s="88" t="s">
        <v>294</v>
      </c>
      <c r="B29" s="96" t="s">
        <v>361</v>
      </c>
      <c r="C29" s="90" t="s">
        <v>204</v>
      </c>
      <c r="D29" s="91" t="s">
        <v>37</v>
      </c>
      <c r="E29" s="91"/>
      <c r="F29" s="97">
        <v>41764</v>
      </c>
      <c r="G29" s="93"/>
      <c r="H29" s="93">
        <v>41764</v>
      </c>
      <c r="I29" s="94">
        <v>29</v>
      </c>
      <c r="J29" s="94"/>
      <c r="K29" s="94"/>
      <c r="L29" s="94"/>
      <c r="M29" s="92"/>
      <c r="N29" s="19" t="s">
        <v>295</v>
      </c>
      <c r="O29" s="89" t="s">
        <v>296</v>
      </c>
      <c r="P29" s="89" t="s">
        <v>297</v>
      </c>
      <c r="Q29" s="89" t="s">
        <v>147</v>
      </c>
      <c r="R29" s="89">
        <v>2310</v>
      </c>
      <c r="T29" s="95" t="s">
        <v>298</v>
      </c>
      <c r="W29" s="90" t="s">
        <v>52</v>
      </c>
      <c r="Z29" s="106" t="s">
        <v>52</v>
      </c>
    </row>
    <row r="30" spans="1:26" x14ac:dyDescent="0.25">
      <c r="A30" s="1" t="s">
        <v>246</v>
      </c>
      <c r="B30" s="13" t="s">
        <v>247</v>
      </c>
      <c r="C30" s="23" t="s">
        <v>39</v>
      </c>
      <c r="D30" s="48" t="s">
        <v>37</v>
      </c>
      <c r="E30" s="49">
        <v>41668</v>
      </c>
      <c r="F30" s="50">
        <v>41683</v>
      </c>
      <c r="G30" s="51" t="s">
        <v>248</v>
      </c>
      <c r="H30" s="53">
        <v>41684</v>
      </c>
      <c r="I30" s="62">
        <v>25</v>
      </c>
      <c r="J30" s="53">
        <v>41689</v>
      </c>
      <c r="K30" s="53">
        <v>42094</v>
      </c>
      <c r="L30" s="62">
        <v>1557</v>
      </c>
      <c r="M30" s="61"/>
      <c r="N30" t="s">
        <v>241</v>
      </c>
      <c r="O30" t="s">
        <v>242</v>
      </c>
      <c r="P30" t="s">
        <v>243</v>
      </c>
      <c r="Q30" t="s">
        <v>189</v>
      </c>
      <c r="R30">
        <v>4350</v>
      </c>
      <c r="T30" s="18" t="s">
        <v>244</v>
      </c>
      <c r="U30" t="s">
        <v>245</v>
      </c>
      <c r="W30" s="23" t="s">
        <v>52</v>
      </c>
      <c r="Z30" s="103" t="s">
        <v>53</v>
      </c>
    </row>
    <row r="31" spans="1:26" x14ac:dyDescent="0.25">
      <c r="A31" s="1" t="s">
        <v>63</v>
      </c>
      <c r="B31" s="5" t="s">
        <v>50</v>
      </c>
      <c r="C31" s="23" t="s">
        <v>42</v>
      </c>
      <c r="D31" s="48" t="s">
        <v>37</v>
      </c>
      <c r="E31" s="49">
        <v>41521</v>
      </c>
      <c r="F31" s="50">
        <v>41534</v>
      </c>
      <c r="G31" s="51" t="s">
        <v>64</v>
      </c>
      <c r="H31" s="53">
        <v>41534</v>
      </c>
      <c r="I31" s="62">
        <v>10</v>
      </c>
      <c r="J31" s="53">
        <v>41535</v>
      </c>
      <c r="K31" s="53">
        <v>42094</v>
      </c>
      <c r="L31" s="62">
        <v>1540</v>
      </c>
      <c r="M31" s="61">
        <v>42151</v>
      </c>
      <c r="N31" t="s">
        <v>51</v>
      </c>
      <c r="O31" t="s">
        <v>213</v>
      </c>
      <c r="P31" t="s">
        <v>214</v>
      </c>
      <c r="Q31" t="s">
        <v>189</v>
      </c>
      <c r="R31">
        <v>4561</v>
      </c>
      <c r="T31" s="18" t="s">
        <v>215</v>
      </c>
      <c r="U31" t="s">
        <v>216</v>
      </c>
      <c r="W31" s="23" t="s">
        <v>52</v>
      </c>
      <c r="Z31" s="103" t="s">
        <v>52</v>
      </c>
    </row>
    <row r="32" spans="1:26" x14ac:dyDescent="0.25">
      <c r="A32" s="1" t="s">
        <v>30</v>
      </c>
      <c r="B32" t="s">
        <v>19</v>
      </c>
      <c r="C32" s="23" t="s">
        <v>204</v>
      </c>
      <c r="D32" s="48" t="s">
        <v>37</v>
      </c>
      <c r="E32" s="49">
        <v>41512</v>
      </c>
      <c r="F32" s="50">
        <v>41512</v>
      </c>
      <c r="G32" s="51" t="s">
        <v>36</v>
      </c>
      <c r="H32" s="53">
        <v>41512</v>
      </c>
      <c r="I32" s="62">
        <v>1</v>
      </c>
      <c r="J32" s="53">
        <v>41565</v>
      </c>
      <c r="K32" s="53"/>
      <c r="L32" s="62" t="s">
        <v>426</v>
      </c>
      <c r="M32" s="61"/>
      <c r="N32" t="s">
        <v>20</v>
      </c>
      <c r="O32" t="s">
        <v>234</v>
      </c>
      <c r="P32" t="s">
        <v>235</v>
      </c>
      <c r="Q32" t="s">
        <v>171</v>
      </c>
      <c r="R32">
        <v>3083</v>
      </c>
      <c r="T32" s="18" t="s">
        <v>236</v>
      </c>
      <c r="W32" s="23" t="s">
        <v>52</v>
      </c>
      <c r="Z32" s="103" t="s">
        <v>52</v>
      </c>
    </row>
    <row r="33" spans="1:174" s="32" customFormat="1" x14ac:dyDescent="0.25">
      <c r="A33" s="1" t="s">
        <v>94</v>
      </c>
      <c r="B33" s="13" t="s">
        <v>93</v>
      </c>
      <c r="C33" s="23" t="s">
        <v>39</v>
      </c>
      <c r="D33" s="48" t="s">
        <v>37</v>
      </c>
      <c r="E33" s="49">
        <v>41578</v>
      </c>
      <c r="F33" s="50">
        <v>41579</v>
      </c>
      <c r="G33" s="52" t="s">
        <v>92</v>
      </c>
      <c r="H33" s="53">
        <v>41579</v>
      </c>
      <c r="I33" s="62">
        <v>6</v>
      </c>
      <c r="J33" s="53">
        <v>41618</v>
      </c>
      <c r="K33" s="53">
        <v>42094</v>
      </c>
      <c r="L33" s="62">
        <v>1536</v>
      </c>
      <c r="M33" s="98">
        <v>42186</v>
      </c>
      <c r="N33" t="s">
        <v>91</v>
      </c>
      <c r="O33" t="s">
        <v>217</v>
      </c>
      <c r="P33" t="s">
        <v>218</v>
      </c>
      <c r="Q33" t="s">
        <v>158</v>
      </c>
      <c r="R33">
        <v>5067</v>
      </c>
      <c r="S33"/>
      <c r="T33" s="18" t="s">
        <v>219</v>
      </c>
      <c r="U33" t="s">
        <v>220</v>
      </c>
      <c r="V33"/>
      <c r="W33" s="23" t="s">
        <v>52</v>
      </c>
      <c r="X33"/>
      <c r="Y33"/>
      <c r="Z33" s="103" t="s">
        <v>53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</row>
    <row r="34" spans="1:174" s="32" customFormat="1" x14ac:dyDescent="0.25">
      <c r="A34" s="1" t="s">
        <v>44</v>
      </c>
      <c r="B34" s="5" t="s">
        <v>40</v>
      </c>
      <c r="C34" s="23" t="s">
        <v>39</v>
      </c>
      <c r="D34" s="48" t="s">
        <v>37</v>
      </c>
      <c r="E34" s="49">
        <v>41517</v>
      </c>
      <c r="F34" s="50">
        <v>41520</v>
      </c>
      <c r="G34" s="51" t="s">
        <v>45</v>
      </c>
      <c r="H34" s="53">
        <v>41521</v>
      </c>
      <c r="I34" s="62">
        <v>7</v>
      </c>
      <c r="J34" s="53">
        <v>41523</v>
      </c>
      <c r="K34" s="53">
        <v>42094</v>
      </c>
      <c r="L34" s="62">
        <v>1550</v>
      </c>
      <c r="M34" s="61"/>
      <c r="N34" s="5" t="s">
        <v>406</v>
      </c>
      <c r="O34" t="s">
        <v>221</v>
      </c>
      <c r="P34" t="s">
        <v>222</v>
      </c>
      <c r="Q34" t="s">
        <v>223</v>
      </c>
      <c r="R34">
        <v>1270135</v>
      </c>
      <c r="S34"/>
      <c r="T34" s="18" t="s">
        <v>224</v>
      </c>
      <c r="U34" t="s">
        <v>225</v>
      </c>
      <c r="V34"/>
      <c r="W34" s="23" t="s">
        <v>52</v>
      </c>
      <c r="X34"/>
      <c r="Y34"/>
      <c r="Z34" s="103" t="s">
        <v>53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</row>
    <row r="35" spans="1:174" x14ac:dyDescent="0.25">
      <c r="A35" s="10" t="s">
        <v>364</v>
      </c>
      <c r="B35" s="5" t="s">
        <v>330</v>
      </c>
      <c r="C35" s="26" t="s">
        <v>59</v>
      </c>
      <c r="D35" s="59" t="s">
        <v>37</v>
      </c>
      <c r="E35" s="60">
        <v>42064</v>
      </c>
      <c r="F35" s="61">
        <v>42125</v>
      </c>
      <c r="G35" s="52" t="s">
        <v>45</v>
      </c>
      <c r="H35" s="53"/>
      <c r="I35" s="62"/>
      <c r="J35" s="62"/>
      <c r="K35" s="53">
        <v>42012</v>
      </c>
      <c r="L35" s="62">
        <v>34</v>
      </c>
      <c r="M35" s="61">
        <v>42052</v>
      </c>
      <c r="N35" s="19" t="s">
        <v>331</v>
      </c>
      <c r="O35" s="5" t="s">
        <v>332</v>
      </c>
      <c r="P35" s="5" t="s">
        <v>333</v>
      </c>
      <c r="Q35" s="5" t="s">
        <v>334</v>
      </c>
      <c r="R35" s="5" t="s">
        <v>335</v>
      </c>
      <c r="S35" s="5"/>
      <c r="T35" s="21" t="s">
        <v>336</v>
      </c>
      <c r="U35" s="5" t="s">
        <v>337</v>
      </c>
      <c r="V35" s="5"/>
      <c r="W35" s="26" t="s">
        <v>52</v>
      </c>
      <c r="X35" s="5"/>
      <c r="Y35" s="5"/>
      <c r="Z35" s="107" t="s">
        <v>52</v>
      </c>
    </row>
    <row r="36" spans="1:174" s="32" customFormat="1" x14ac:dyDescent="0.25">
      <c r="A36" s="1" t="s">
        <v>305</v>
      </c>
      <c r="B36" s="13" t="s">
        <v>304</v>
      </c>
      <c r="C36" s="23" t="s">
        <v>39</v>
      </c>
      <c r="D36" s="48" t="s">
        <v>37</v>
      </c>
      <c r="E36" s="49">
        <v>41795</v>
      </c>
      <c r="F36" s="50">
        <v>41676</v>
      </c>
      <c r="G36" s="52" t="s">
        <v>303</v>
      </c>
      <c r="H36" s="53">
        <v>41806</v>
      </c>
      <c r="I36" s="62">
        <v>31</v>
      </c>
      <c r="J36" s="53">
        <v>41821</v>
      </c>
      <c r="K36" s="53">
        <v>42094</v>
      </c>
      <c r="L36" s="62" t="s">
        <v>369</v>
      </c>
      <c r="M36" s="61"/>
      <c r="N36" t="s">
        <v>299</v>
      </c>
      <c r="O36" t="s">
        <v>300</v>
      </c>
      <c r="P36" t="s">
        <v>301</v>
      </c>
      <c r="Q36" t="s">
        <v>142</v>
      </c>
      <c r="R36">
        <v>6076</v>
      </c>
      <c r="S36"/>
      <c r="T36" s="18" t="s">
        <v>302</v>
      </c>
      <c r="U36"/>
      <c r="V36"/>
      <c r="W36" s="23" t="s">
        <v>52</v>
      </c>
      <c r="X36"/>
      <c r="Y36"/>
      <c r="Z36" s="103" t="s">
        <v>53</v>
      </c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</row>
    <row r="37" spans="1:174" s="32" customFormat="1" x14ac:dyDescent="0.25">
      <c r="A37" s="1" t="s">
        <v>33</v>
      </c>
      <c r="B37" t="s">
        <v>28</v>
      </c>
      <c r="C37" s="23" t="s">
        <v>39</v>
      </c>
      <c r="D37" s="48" t="s">
        <v>37</v>
      </c>
      <c r="E37" s="49">
        <v>41521</v>
      </c>
      <c r="F37" s="50">
        <v>41512</v>
      </c>
      <c r="G37" s="51" t="s">
        <v>35</v>
      </c>
      <c r="H37" s="53">
        <v>41512</v>
      </c>
      <c r="I37" s="62">
        <v>4</v>
      </c>
      <c r="J37" s="53">
        <v>41520</v>
      </c>
      <c r="K37" s="53">
        <v>42094</v>
      </c>
      <c r="L37" s="62">
        <v>1535</v>
      </c>
      <c r="M37" s="61">
        <v>42123</v>
      </c>
      <c r="N37" t="s">
        <v>24</v>
      </c>
      <c r="O37" t="s">
        <v>226</v>
      </c>
      <c r="P37" t="s">
        <v>227</v>
      </c>
      <c r="Q37" t="s">
        <v>158</v>
      </c>
      <c r="R37">
        <v>5039</v>
      </c>
      <c r="S37"/>
      <c r="T37" s="18" t="s">
        <v>228</v>
      </c>
      <c r="U37" t="s">
        <v>229</v>
      </c>
      <c r="V37"/>
      <c r="W37" s="23" t="s">
        <v>53</v>
      </c>
      <c r="X37" s="27" t="s">
        <v>407</v>
      </c>
      <c r="Y37" s="71" t="s">
        <v>408</v>
      </c>
      <c r="Z37" s="103" t="s">
        <v>53</v>
      </c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</row>
    <row r="38" spans="1:174" s="44" customFormat="1" ht="15.75" thickBot="1" x14ac:dyDescent="0.3">
      <c r="A38" s="43" t="s">
        <v>131</v>
      </c>
      <c r="B38" s="44" t="s">
        <v>132</v>
      </c>
      <c r="C38" s="45" t="s">
        <v>135</v>
      </c>
      <c r="D38" s="63" t="s">
        <v>37</v>
      </c>
      <c r="E38" s="64">
        <v>41619</v>
      </c>
      <c r="F38" s="65">
        <v>41620</v>
      </c>
      <c r="G38" s="64" t="s">
        <v>134</v>
      </c>
      <c r="H38" s="74">
        <v>41620</v>
      </c>
      <c r="I38" s="75">
        <v>24</v>
      </c>
      <c r="J38" s="74">
        <v>41625</v>
      </c>
      <c r="K38" s="74">
        <v>42094</v>
      </c>
      <c r="L38" s="75">
        <v>1556</v>
      </c>
      <c r="M38" s="76"/>
      <c r="N38" s="46" t="s">
        <v>133</v>
      </c>
      <c r="O38" s="46" t="s">
        <v>230</v>
      </c>
      <c r="P38" s="46" t="s">
        <v>231</v>
      </c>
      <c r="Q38" s="46" t="s">
        <v>158</v>
      </c>
      <c r="R38" s="46">
        <v>5086</v>
      </c>
      <c r="S38" s="46"/>
      <c r="T38" s="47" t="s">
        <v>232</v>
      </c>
      <c r="U38" s="46" t="s">
        <v>233</v>
      </c>
      <c r="V38" s="46"/>
      <c r="W38" s="45" t="s">
        <v>52</v>
      </c>
      <c r="X38" s="46"/>
      <c r="Y38" s="46"/>
      <c r="Z38" s="108" t="s">
        <v>430</v>
      </c>
    </row>
    <row r="41" spans="1:174" x14ac:dyDescent="0.25">
      <c r="B41" s="30" t="s">
        <v>358</v>
      </c>
    </row>
    <row r="42" spans="1:174" x14ac:dyDescent="0.25">
      <c r="B42" s="20" t="s">
        <v>204</v>
      </c>
      <c r="C42" s="23">
        <f>COUNTIF($C$3:$C$39,B42)</f>
        <v>6</v>
      </c>
    </row>
    <row r="43" spans="1:174" x14ac:dyDescent="0.25">
      <c r="B43" s="20" t="s">
        <v>39</v>
      </c>
      <c r="C43" s="23">
        <f>COUNTIF($C$3:$C$39,B43)</f>
        <v>10</v>
      </c>
    </row>
    <row r="44" spans="1:174" x14ac:dyDescent="0.25">
      <c r="B44" s="20" t="s">
        <v>135</v>
      </c>
      <c r="C44" s="23">
        <f>COUNTIF($C$3:$C$39,B44)</f>
        <v>3</v>
      </c>
    </row>
    <row r="45" spans="1:174" x14ac:dyDescent="0.25">
      <c r="B45" s="20" t="s">
        <v>59</v>
      </c>
      <c r="C45" s="23">
        <f>COUNTIF($C$3:$C$39,B45)</f>
        <v>11</v>
      </c>
    </row>
    <row r="46" spans="1:174" x14ac:dyDescent="0.25">
      <c r="B46" s="20" t="s">
        <v>42</v>
      </c>
      <c r="C46" s="23">
        <f>COUNTIF($C$3:$C$39,B46)</f>
        <v>4</v>
      </c>
    </row>
    <row r="47" spans="1:174" x14ac:dyDescent="0.25">
      <c r="B47" s="30" t="s">
        <v>12</v>
      </c>
      <c r="C47" s="31">
        <f>SUM(C42:C46)</f>
        <v>34</v>
      </c>
    </row>
    <row r="48" spans="1:174" x14ac:dyDescent="0.25">
      <c r="B48" s="38" t="s">
        <v>344</v>
      </c>
      <c r="C48" s="23">
        <f>COUNTIF(D3:D39,B48)</f>
        <v>3</v>
      </c>
    </row>
  </sheetData>
  <sortState ref="B3:AB38">
    <sortCondition ref="B3:B38"/>
  </sortState>
  <conditionalFormatting sqref="D14:D38 L37:L38 F36 K36:L36 W1:W1048576 X14 X16:Y16 X25:Y25 X37:Y37">
    <cfRule type="cellIs" dxfId="5" priority="6" operator="equal">
      <formula>"Yes"</formula>
    </cfRule>
  </conditionalFormatting>
  <conditionalFormatting sqref="M36">
    <cfRule type="containsText" dxfId="4" priority="3" operator="containsText" text="ent">
      <formula>NOT(ISERROR(SEARCH("ent",M36)))</formula>
    </cfRule>
  </conditionalFormatting>
  <conditionalFormatting sqref="M37">
    <cfRule type="containsText" dxfId="3" priority="1" operator="containsText" text="ent">
      <formula>NOT(ISERROR(SEARCH("ent",M37)))</formula>
    </cfRule>
  </conditionalFormatting>
  <hyperlinks>
    <hyperlink ref="T3" r:id="rId1"/>
    <hyperlink ref="T5" r:id="rId2"/>
    <hyperlink ref="T8" r:id="rId3"/>
    <hyperlink ref="T9" r:id="rId4"/>
    <hyperlink ref="T12" r:id="rId5"/>
    <hyperlink ref="T13" r:id="rId6"/>
    <hyperlink ref="T16" r:id="rId7"/>
    <hyperlink ref="T17" r:id="rId8"/>
    <hyperlink ref="T18" r:id="rId9"/>
    <hyperlink ref="T20" r:id="rId10"/>
    <hyperlink ref="T23" r:id="rId11"/>
    <hyperlink ref="T24" r:id="rId12"/>
    <hyperlink ref="T25" r:id="rId13"/>
    <hyperlink ref="T28" r:id="rId14"/>
    <hyperlink ref="T27" r:id="rId15"/>
    <hyperlink ref="T31" r:id="rId16"/>
    <hyperlink ref="T33" r:id="rId17"/>
    <hyperlink ref="T34" r:id="rId18"/>
    <hyperlink ref="T37" r:id="rId19"/>
    <hyperlink ref="T38" r:id="rId20"/>
    <hyperlink ref="T32" r:id="rId21"/>
    <hyperlink ref="T4" r:id="rId22"/>
    <hyperlink ref="T30" r:id="rId23"/>
    <hyperlink ref="T10" r:id="rId24"/>
    <hyperlink ref="Y26" r:id="rId25"/>
    <hyperlink ref="T6" r:id="rId26"/>
    <hyperlink ref="T11" r:id="rId27"/>
    <hyperlink ref="V6" r:id="rId28"/>
    <hyperlink ref="T22" r:id="rId29"/>
    <hyperlink ref="T29" r:id="rId30"/>
    <hyperlink ref="T36" r:id="rId31"/>
    <hyperlink ref="T19" r:id="rId32"/>
    <hyperlink ref="T15" r:id="rId33" display="mailto:jrudd.gpx@gmail.com"/>
    <hyperlink ref="T7" r:id="rId34"/>
    <hyperlink ref="T35" r:id="rId35" display="mailto:joel.jansen@teck.com"/>
    <hyperlink ref="T14" r:id="rId36"/>
    <hyperlink ref="Y16" r:id="rId37" display="glenn.chubak@discogeo.com"/>
    <hyperlink ref="S20" r:id="rId38"/>
    <hyperlink ref="T21" r:id="rId39"/>
    <hyperlink ref="T26" r:id="rId40"/>
    <hyperlink ref="Y37" r:id="rId41"/>
  </hyperlinks>
  <pageMargins left="0.7" right="0.7" top="0.75" bottom="0.75" header="0.3" footer="0.3"/>
  <pageSetup paperSize="9" orientation="portrait" r:id="rId42"/>
  <legacyDrawing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workbookViewId="0">
      <selection activeCell="A2" sqref="A2"/>
    </sheetView>
  </sheetViews>
  <sheetFormatPr defaultRowHeight="15" x14ac:dyDescent="0.25"/>
  <cols>
    <col min="1" max="1" width="27.42578125" customWidth="1"/>
    <col min="2" max="2" width="11.5703125" bestFit="1" customWidth="1"/>
  </cols>
  <sheetData>
    <row r="1" spans="1:3" ht="18.75" x14ac:dyDescent="0.3">
      <c r="A1" s="3" t="s">
        <v>393</v>
      </c>
    </row>
    <row r="3" spans="1:3" x14ac:dyDescent="0.25">
      <c r="A3" s="2" t="s">
        <v>100</v>
      </c>
      <c r="B3" s="1">
        <v>42185</v>
      </c>
      <c r="C3" s="14"/>
    </row>
    <row r="4" spans="1:3" x14ac:dyDescent="0.25">
      <c r="A4" s="2" t="s">
        <v>410</v>
      </c>
    </row>
    <row r="5" spans="1:3" x14ac:dyDescent="0.25">
      <c r="A5" t="s">
        <v>411</v>
      </c>
      <c r="B5" s="112">
        <v>1736.7</v>
      </c>
      <c r="C5" s="68" t="s">
        <v>394</v>
      </c>
    </row>
    <row r="6" spans="1:3" x14ac:dyDescent="0.25">
      <c r="A6" t="s">
        <v>382</v>
      </c>
      <c r="B6" s="112">
        <v>26146.18</v>
      </c>
      <c r="C6" s="68" t="s">
        <v>394</v>
      </c>
    </row>
    <row r="7" spans="1:3" x14ac:dyDescent="0.25">
      <c r="A7" t="s">
        <v>293</v>
      </c>
      <c r="B7" s="113">
        <v>48.58</v>
      </c>
      <c r="C7" s="68" t="s">
        <v>394</v>
      </c>
    </row>
    <row r="8" spans="1:3" x14ac:dyDescent="0.25">
      <c r="A8" s="9" t="s">
        <v>86</v>
      </c>
      <c r="B8" s="113">
        <f>SUMIF(Receivable!M4:M12,"Paid*",Receivable!L4:L12)</f>
        <v>6380</v>
      </c>
      <c r="C8" s="6"/>
    </row>
    <row r="9" spans="1:3" x14ac:dyDescent="0.25">
      <c r="A9" t="s">
        <v>443</v>
      </c>
      <c r="B9" s="113">
        <f>Payable!K15</f>
        <v>8896.83</v>
      </c>
      <c r="C9" s="6"/>
    </row>
    <row r="10" spans="1:3" x14ac:dyDescent="0.25">
      <c r="A10" s="69" t="s">
        <v>101</v>
      </c>
      <c r="B10" s="114">
        <f>B5+B6+B7+B8-B9</f>
        <v>25414.630000000005</v>
      </c>
      <c r="C10" s="6"/>
    </row>
    <row r="11" spans="1:3" x14ac:dyDescent="0.25">
      <c r="A11" t="s">
        <v>83</v>
      </c>
      <c r="B11" s="113">
        <f>SUMIF(' Interest &amp; Fees'!E4:E26,"Interest*",' Interest &amp; Fees'!B4:B26)</f>
        <v>243.55</v>
      </c>
      <c r="C11" s="6"/>
    </row>
    <row r="12" spans="1:3" x14ac:dyDescent="0.25">
      <c r="A12" t="s">
        <v>444</v>
      </c>
      <c r="B12" s="113">
        <f>SUMIF(' Interest &amp; Fees'!E4:E26,"Bank Fees*",' Interest &amp; Fees'!B4:B26)</f>
        <v>13.75</v>
      </c>
      <c r="C12" s="6"/>
    </row>
    <row r="13" spans="1:3" x14ac:dyDescent="0.25">
      <c r="A13" s="117" t="s">
        <v>397</v>
      </c>
      <c r="B13" s="126">
        <f>B10+B11-B12</f>
        <v>25644.430000000004</v>
      </c>
      <c r="C13" s="7"/>
    </row>
    <row r="14" spans="1:3" x14ac:dyDescent="0.25">
      <c r="B14" s="113"/>
      <c r="C14" s="6"/>
    </row>
    <row r="15" spans="1:3" x14ac:dyDescent="0.25">
      <c r="A15" s="2" t="s">
        <v>413</v>
      </c>
      <c r="B15" s="113"/>
    </row>
    <row r="16" spans="1:3" x14ac:dyDescent="0.25">
      <c r="A16" t="s">
        <v>82</v>
      </c>
      <c r="B16" s="113">
        <v>6911.78</v>
      </c>
      <c r="C16" s="6" t="s">
        <v>412</v>
      </c>
    </row>
    <row r="17" spans="1:3" x14ac:dyDescent="0.25">
      <c r="A17" t="s">
        <v>99</v>
      </c>
      <c r="B17" s="112">
        <v>18684.07</v>
      </c>
      <c r="C17" s="6" t="s">
        <v>412</v>
      </c>
    </row>
    <row r="18" spans="1:3" x14ac:dyDescent="0.25">
      <c r="A18" t="s">
        <v>293</v>
      </c>
      <c r="B18" s="113">
        <v>48.58</v>
      </c>
      <c r="C18" s="6" t="s">
        <v>412</v>
      </c>
    </row>
    <row r="19" spans="1:3" x14ac:dyDescent="0.25">
      <c r="A19" s="117" t="s">
        <v>12</v>
      </c>
      <c r="B19" s="114">
        <f>SUM(B16:B18)</f>
        <v>25644.43</v>
      </c>
      <c r="C19" s="8"/>
    </row>
    <row r="20" spans="1:3" s="29" customFormat="1" x14ac:dyDescent="0.25">
      <c r="A20" s="29" t="s">
        <v>117</v>
      </c>
      <c r="B20" s="115">
        <f>B13-B19</f>
        <v>0</v>
      </c>
      <c r="C20" s="16" t="s">
        <v>395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tabSelected="1" workbookViewId="0">
      <selection activeCell="G4" sqref="G4"/>
    </sheetView>
  </sheetViews>
  <sheetFormatPr defaultRowHeight="15" x14ac:dyDescent="0.25"/>
  <cols>
    <col min="1" max="1" width="11.42578125" customWidth="1"/>
    <col min="2" max="2" width="14.42578125" customWidth="1"/>
    <col min="3" max="3" width="11.42578125" customWidth="1"/>
    <col min="4" max="4" width="11.140625" customWidth="1"/>
    <col min="5" max="5" width="10" customWidth="1"/>
    <col min="6" max="6" width="41.28515625" customWidth="1"/>
    <col min="7" max="8" width="32.28515625" customWidth="1"/>
    <col min="9" max="9" width="19.5703125" customWidth="1"/>
    <col min="10" max="10" width="15.42578125" customWidth="1"/>
    <col min="11" max="11" width="12.140625" customWidth="1"/>
    <col min="12" max="12" width="12" customWidth="1"/>
    <col min="13" max="14" width="13.85546875" customWidth="1"/>
    <col min="16" max="16" width="18.5703125" customWidth="1"/>
    <col min="17" max="17" width="10.5703125" bestFit="1" customWidth="1"/>
  </cols>
  <sheetData>
    <row r="1" spans="1:22" s="2" customFormat="1" ht="18.75" x14ac:dyDescent="0.3">
      <c r="A1" s="3" t="s">
        <v>375</v>
      </c>
    </row>
    <row r="3" spans="1:22" s="22" customFormat="1" ht="30" x14ac:dyDescent="0.25">
      <c r="A3" s="22" t="s">
        <v>0</v>
      </c>
      <c r="B3" s="22" t="s">
        <v>1</v>
      </c>
      <c r="C3" s="22" t="s">
        <v>2</v>
      </c>
      <c r="D3" s="22" t="s">
        <v>18</v>
      </c>
      <c r="E3" s="22" t="s">
        <v>357</v>
      </c>
      <c r="F3" s="22" t="s">
        <v>340</v>
      </c>
      <c r="G3" s="22" t="s">
        <v>376</v>
      </c>
      <c r="H3" s="22" t="s">
        <v>143</v>
      </c>
      <c r="I3" s="22" t="s">
        <v>3</v>
      </c>
      <c r="J3" s="22" t="s">
        <v>10</v>
      </c>
      <c r="K3" s="22" t="s">
        <v>11</v>
      </c>
      <c r="L3" s="22" t="s">
        <v>12</v>
      </c>
      <c r="M3" s="22" t="s">
        <v>4</v>
      </c>
      <c r="N3" s="22" t="s">
        <v>377</v>
      </c>
      <c r="O3" s="22" t="s">
        <v>85</v>
      </c>
      <c r="P3" s="22" t="s">
        <v>98</v>
      </c>
    </row>
    <row r="4" spans="1:22" x14ac:dyDescent="0.25">
      <c r="A4" s="52">
        <v>31</v>
      </c>
      <c r="B4" t="s">
        <v>21</v>
      </c>
      <c r="C4" s="1">
        <v>41806</v>
      </c>
      <c r="D4" s="1">
        <f t="shared" ref="D4:D12" si="0">C4+14</f>
        <v>41820</v>
      </c>
      <c r="E4" s="1" t="s">
        <v>305</v>
      </c>
      <c r="F4" s="15" t="str">
        <f>VLOOKUP($E4,Membership!$A$3:$T$38,2,FALSE)</f>
        <v>Vortex Geophysics Pty Ltd</v>
      </c>
      <c r="G4" s="15" t="str">
        <f>VLOOKUP($E4,Membership!$A$3:$T$38,14,FALSE)</f>
        <v>Allan Perry</v>
      </c>
      <c r="H4" s="15" t="str">
        <f>VLOOKUP($E4,Membership!$A$3:$T$38,20,FALSE)</f>
        <v>allan@vortexgeophysics.com.au</v>
      </c>
      <c r="I4" s="15" t="str">
        <f>VLOOKUP($E4,Membership!$A$3:$T$38,7,FALSE)</f>
        <v>46 681 307 987</v>
      </c>
      <c r="J4" s="113">
        <v>1200</v>
      </c>
      <c r="K4" s="113">
        <v>120</v>
      </c>
      <c r="L4" s="113">
        <v>1320</v>
      </c>
      <c r="M4" t="s">
        <v>338</v>
      </c>
      <c r="N4" s="10">
        <v>41821</v>
      </c>
      <c r="O4" s="11">
        <v>1</v>
      </c>
    </row>
    <row r="5" spans="1:22" s="5" customFormat="1" x14ac:dyDescent="0.25">
      <c r="A5" s="62">
        <v>34</v>
      </c>
      <c r="B5" t="s">
        <v>21</v>
      </c>
      <c r="C5" s="10">
        <v>42012</v>
      </c>
      <c r="D5" s="1">
        <f t="shared" si="0"/>
        <v>42026</v>
      </c>
      <c r="E5" s="10" t="s">
        <v>364</v>
      </c>
      <c r="F5" s="15" t="str">
        <f>VLOOKUP($E5,Membership!$A$3:$T$38,2,FALSE)</f>
        <v>Teck Resources</v>
      </c>
      <c r="G5" s="15" t="str">
        <f>VLOOKUP($E5,Membership!$A$3:$T$38,14,FALSE)</f>
        <v>Joel Jansen</v>
      </c>
      <c r="H5" s="15" t="str">
        <f>VLOOKUP($E5,Membership!$A$3:$T$38,20,FALSE)</f>
        <v>joel.jansen@teck.com</v>
      </c>
      <c r="I5" s="15" t="str">
        <f>VLOOKUP($E5,Membership!$A$3:$T$38,7,FALSE)</f>
        <v>international</v>
      </c>
      <c r="J5" s="112">
        <v>250</v>
      </c>
      <c r="K5" s="112">
        <v>25</v>
      </c>
      <c r="L5" s="113">
        <v>275</v>
      </c>
      <c r="M5" s="10" t="s">
        <v>338</v>
      </c>
      <c r="N5" s="10">
        <v>42052</v>
      </c>
      <c r="O5" s="5">
        <v>3</v>
      </c>
      <c r="Q5" s="21"/>
    </row>
    <row r="6" spans="1:22" x14ac:dyDescent="0.25">
      <c r="A6" s="52">
        <v>1535</v>
      </c>
      <c r="B6" t="s">
        <v>21</v>
      </c>
      <c r="C6" s="1">
        <v>42094</v>
      </c>
      <c r="D6" s="1">
        <f t="shared" si="0"/>
        <v>42108</v>
      </c>
      <c r="E6" s="1" t="s">
        <v>33</v>
      </c>
      <c r="F6" s="15" t="str">
        <f>VLOOKUP($E6,Membership!$A$3:$T$38,2,FALSE)</f>
        <v>Zonge Engineering and Research Organization (Australia) Pty Ltd</v>
      </c>
      <c r="G6" s="15" t="str">
        <f>VLOOKUP($E6,Membership!$A$3:$T$38,14,FALSE)</f>
        <v>Kelly Keates</v>
      </c>
      <c r="H6" s="15" t="str">
        <f>VLOOKUP($E6,Membership!$A$3:$T$38,20,FALSE)</f>
        <v>kjkeates@zonge.com.au</v>
      </c>
      <c r="I6" s="15" t="str">
        <f>VLOOKUP($E6,Membership!$A$3:$T$38,7,FALSE)</f>
        <v>57 008 029 972</v>
      </c>
      <c r="J6" s="113">
        <v>1200</v>
      </c>
      <c r="K6" s="113">
        <v>120</v>
      </c>
      <c r="L6" s="113">
        <v>1320</v>
      </c>
      <c r="M6" t="s">
        <v>338</v>
      </c>
      <c r="N6" s="10">
        <v>42123</v>
      </c>
      <c r="O6" s="11">
        <v>4</v>
      </c>
      <c r="P6" s="5"/>
      <c r="Q6" s="72"/>
      <c r="R6" s="5"/>
      <c r="S6" s="5"/>
      <c r="T6" s="5"/>
      <c r="U6" s="5"/>
      <c r="V6" s="5"/>
    </row>
    <row r="7" spans="1:22" x14ac:dyDescent="0.25">
      <c r="A7" s="52">
        <v>1538</v>
      </c>
      <c r="B7" t="s">
        <v>21</v>
      </c>
      <c r="C7" s="1">
        <v>42094</v>
      </c>
      <c r="D7" s="1">
        <f t="shared" si="0"/>
        <v>42108</v>
      </c>
      <c r="E7" s="1" t="s">
        <v>46</v>
      </c>
      <c r="F7" s="15" t="str">
        <f>VLOOKUP($E7,Membership!$A$3:$T$38,2,FALSE)</f>
        <v>Cira Pty Ltd</v>
      </c>
      <c r="G7" s="15" t="str">
        <f>VLOOKUP($E7,Membership!$A$3:$T$38,14,FALSE)</f>
        <v>Phillip Palmer</v>
      </c>
      <c r="H7" s="15" t="str">
        <f>VLOOKUP($E7,Membership!$A$3:$T$38,20,FALSE)</f>
        <v>cirapl@ozemail.com.au</v>
      </c>
      <c r="I7" s="15" t="str">
        <f>VLOOKUP($E7,Membership!$A$3:$T$38,7,FALSE)</f>
        <v>87 008 292 920</v>
      </c>
      <c r="J7" s="113">
        <v>250</v>
      </c>
      <c r="K7" s="113">
        <v>25</v>
      </c>
      <c r="L7" s="113">
        <v>275</v>
      </c>
      <c r="M7" t="s">
        <v>338</v>
      </c>
      <c r="N7" s="10">
        <v>42139</v>
      </c>
      <c r="O7" s="11">
        <v>4</v>
      </c>
    </row>
    <row r="8" spans="1:22" x14ac:dyDescent="0.25">
      <c r="A8" s="52">
        <v>1540</v>
      </c>
      <c r="B8" t="s">
        <v>21</v>
      </c>
      <c r="C8" s="1">
        <v>42094</v>
      </c>
      <c r="D8" s="1">
        <f t="shared" si="0"/>
        <v>42108</v>
      </c>
      <c r="E8" s="1" t="s">
        <v>63</v>
      </c>
      <c r="F8" s="15" t="str">
        <f>VLOOKUP($E8,Membership!$A$3:$T$38,2,FALSE)</f>
        <v>RAMA Geoscience</v>
      </c>
      <c r="G8" s="15" t="str">
        <f>VLOOKUP($E8,Membership!$A$3:$T$38,14,FALSE)</f>
        <v>Rob Angus</v>
      </c>
      <c r="H8" s="15" t="str">
        <f>VLOOKUP($E8,Membership!$A$3:$T$38,20,FALSE)</f>
        <v>rob@ramageoscience.com.au</v>
      </c>
      <c r="I8" s="15" t="str">
        <f>VLOOKUP($E8,Membership!$A$3:$T$38,7,FALSE)</f>
        <v>57 824 239 320</v>
      </c>
      <c r="J8" s="113">
        <v>250</v>
      </c>
      <c r="K8" s="113">
        <v>25</v>
      </c>
      <c r="L8" s="113">
        <v>275</v>
      </c>
      <c r="M8" t="s">
        <v>338</v>
      </c>
      <c r="N8" s="10">
        <v>42151</v>
      </c>
      <c r="O8" s="11">
        <v>4</v>
      </c>
    </row>
    <row r="9" spans="1:22" x14ac:dyDescent="0.25">
      <c r="A9" s="52">
        <v>1541</v>
      </c>
      <c r="B9" t="s">
        <v>21</v>
      </c>
      <c r="C9" s="1">
        <v>42094</v>
      </c>
      <c r="D9" s="1">
        <f t="shared" si="0"/>
        <v>42108</v>
      </c>
      <c r="E9" s="1" t="s">
        <v>65</v>
      </c>
      <c r="F9" s="15" t="str">
        <f>VLOOKUP($E9,Membership!$A$3:$T$38,2,FALSE)</f>
        <v>Gap Geophysics Australia Pty Ltd</v>
      </c>
      <c r="G9" s="15" t="str">
        <f>VLOOKUP($E9,Membership!$A$3:$T$38,14,FALSE)</f>
        <v>Malcolm Cattach</v>
      </c>
      <c r="H9" s="15" t="str">
        <f>VLOOKUP($E9,Membership!$A$3:$T$38,19,FALSE)</f>
        <v>accounts@gapgeo.com</v>
      </c>
      <c r="I9" s="15" t="str">
        <f>VLOOKUP($E9,Membership!$A$3:$T$38,7,FALSE)</f>
        <v>67 116 407 580</v>
      </c>
      <c r="J9" s="113">
        <v>1200</v>
      </c>
      <c r="K9" s="113">
        <v>120</v>
      </c>
      <c r="L9" s="113">
        <v>1320</v>
      </c>
      <c r="M9" t="s">
        <v>338</v>
      </c>
      <c r="N9" s="10">
        <v>42138</v>
      </c>
      <c r="O9" s="11">
        <v>4</v>
      </c>
    </row>
    <row r="10" spans="1:22" x14ac:dyDescent="0.25">
      <c r="A10" s="52">
        <v>1543</v>
      </c>
      <c r="B10" t="s">
        <v>21</v>
      </c>
      <c r="C10" s="1">
        <v>42094</v>
      </c>
      <c r="D10" s="1">
        <f t="shared" si="0"/>
        <v>42108</v>
      </c>
      <c r="E10" s="1" t="s">
        <v>89</v>
      </c>
      <c r="F10" s="15" t="str">
        <f>VLOOKUP($E10,Membership!$A$3:$T$38,2,FALSE)</f>
        <v>Electromagnetic Imaging Technology Pty Ltd</v>
      </c>
      <c r="G10" s="15" t="str">
        <f>VLOOKUP($E10,Membership!$A$3:$T$38,14,FALSE)</f>
        <v>Andrew Duncan</v>
      </c>
      <c r="H10" s="15" t="str">
        <f>VLOOKUP($E10,Membership!$A$3:$T$38,20,FALSE)</f>
        <v>aduncan@electromag.com.au</v>
      </c>
      <c r="I10" s="15" t="str">
        <f>VLOOKUP($E10,Membership!$A$3:$T$38,7,FALSE)</f>
        <v>70 009 413 441</v>
      </c>
      <c r="J10" s="113">
        <v>600</v>
      </c>
      <c r="K10" s="113">
        <v>60</v>
      </c>
      <c r="L10" s="113">
        <v>660</v>
      </c>
      <c r="M10" t="s">
        <v>338</v>
      </c>
      <c r="N10" s="10">
        <v>42116</v>
      </c>
      <c r="O10" s="11">
        <v>4</v>
      </c>
    </row>
    <row r="11" spans="1:22" x14ac:dyDescent="0.25">
      <c r="A11" s="52">
        <v>1545</v>
      </c>
      <c r="B11" t="s">
        <v>21</v>
      </c>
      <c r="C11" s="1">
        <v>42094</v>
      </c>
      <c r="D11" s="1">
        <f t="shared" si="0"/>
        <v>42108</v>
      </c>
      <c r="E11" s="1" t="s">
        <v>102</v>
      </c>
      <c r="F11" s="15" t="str">
        <f>VLOOKUP($E11,Membership!$A$3:$T$38,2,FALSE)</f>
        <v>Geoscience Australia</v>
      </c>
      <c r="G11" s="15" t="str">
        <f>VLOOKUP($E11,Membership!$A$3:$T$38,14,FALSE)</f>
        <v>Aki Nakamura</v>
      </c>
      <c r="H11" s="15" t="str">
        <f>VLOOKUP($E11,Membership!$A$3:$T$38,20,FALSE)</f>
        <v>aki.nakamura@ga.gov.au</v>
      </c>
      <c r="I11" s="15" t="str">
        <f>VLOOKUP($E11,Membership!$A$3:$T$38,7,FALSE)</f>
        <v>80 091 799 039</v>
      </c>
      <c r="J11" s="113">
        <v>600</v>
      </c>
      <c r="K11" s="113">
        <v>60</v>
      </c>
      <c r="L11" s="113">
        <v>660</v>
      </c>
      <c r="M11" t="s">
        <v>338</v>
      </c>
      <c r="N11" s="10">
        <v>42124</v>
      </c>
      <c r="O11" s="11">
        <v>4</v>
      </c>
    </row>
    <row r="12" spans="1:22" x14ac:dyDescent="0.25">
      <c r="A12" s="52">
        <v>1547</v>
      </c>
      <c r="B12" t="s">
        <v>21</v>
      </c>
      <c r="C12" s="1">
        <v>42094</v>
      </c>
      <c r="D12" s="1">
        <f t="shared" si="0"/>
        <v>42108</v>
      </c>
      <c r="E12" s="1" t="s">
        <v>109</v>
      </c>
      <c r="F12" s="15" t="str">
        <f>VLOOKUP($E12,Membership!$A$3:$T$38,2,FALSE)</f>
        <v>Arctan Services Pty Ltd</v>
      </c>
      <c r="G12" s="15" t="str">
        <f>VLOOKUP($E12,Membership!$A$3:$T$38,14,FALSE)</f>
        <v>Steve Collins</v>
      </c>
      <c r="H12" s="15" t="str">
        <f>VLOOKUP($E12,Membership!$A$3:$T$38,20,FALSE)</f>
        <v>scollins@arctan.com.au</v>
      </c>
      <c r="I12" s="15" t="str">
        <f>VLOOKUP($E12,Membership!$A$3:$T$38,7,FALSE)</f>
        <v>46 002 948 361</v>
      </c>
      <c r="J12" s="113">
        <v>250</v>
      </c>
      <c r="K12" s="113">
        <v>25</v>
      </c>
      <c r="L12" s="113">
        <v>275</v>
      </c>
      <c r="M12" t="s">
        <v>338</v>
      </c>
      <c r="N12" s="10">
        <v>42104</v>
      </c>
      <c r="O12" s="11">
        <v>4</v>
      </c>
    </row>
    <row r="13" spans="1:22" ht="15.75" thickBot="1" x14ac:dyDescent="0.3">
      <c r="J13" s="113"/>
      <c r="K13" s="113"/>
      <c r="L13" s="113"/>
      <c r="O13" s="11"/>
    </row>
    <row r="14" spans="1:22" ht="15.75" thickTop="1" x14ac:dyDescent="0.25">
      <c r="A14" t="s">
        <v>378</v>
      </c>
      <c r="J14" s="123">
        <f>SUM(J4:J13)</f>
        <v>5800</v>
      </c>
      <c r="K14" s="123">
        <f>SUM(K4:K13)</f>
        <v>580</v>
      </c>
      <c r="L14" s="123">
        <f>SUM(L4:L13)</f>
        <v>6380</v>
      </c>
      <c r="M14" s="6"/>
      <c r="N14" s="6"/>
    </row>
    <row r="15" spans="1:22" x14ac:dyDescent="0.25">
      <c r="M15" s="6"/>
      <c r="N15" s="6"/>
    </row>
    <row r="16" spans="1:22" x14ac:dyDescent="0.25">
      <c r="M16" s="6"/>
      <c r="N16" s="6"/>
    </row>
    <row r="17" spans="2:2" x14ac:dyDescent="0.25">
      <c r="B17" s="2" t="s">
        <v>416</v>
      </c>
    </row>
    <row r="18" spans="2:2" x14ac:dyDescent="0.25">
      <c r="B18" t="s">
        <v>21</v>
      </c>
    </row>
    <row r="19" spans="2:2" x14ac:dyDescent="0.25">
      <c r="B19" t="s">
        <v>5</v>
      </c>
    </row>
    <row r="20" spans="2:2" x14ac:dyDescent="0.25">
      <c r="B20" t="s">
        <v>78</v>
      </c>
    </row>
  </sheetData>
  <conditionalFormatting sqref="M6:N13">
    <cfRule type="containsText" dxfId="2" priority="8" operator="containsText" text="ent">
      <formula>NOT(ISERROR(SEARCH("ent",M6)))</formula>
    </cfRule>
  </conditionalFormatting>
  <conditionalFormatting sqref="J5:K5 A5">
    <cfRule type="cellIs" dxfId="1" priority="4" operator="equal">
      <formula>"Yes"</formula>
    </cfRule>
  </conditionalFormatting>
  <conditionalFormatting sqref="M4:N4">
    <cfRule type="containsText" dxfId="0" priority="1" operator="containsText" text="ent">
      <formula>NOT(ISERROR(SEARCH("ent",M4)))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"/>
  <sheetViews>
    <sheetView workbookViewId="0">
      <selection activeCell="A2" sqref="A2"/>
    </sheetView>
  </sheetViews>
  <sheetFormatPr defaultRowHeight="15" x14ac:dyDescent="0.25"/>
  <cols>
    <col min="1" max="1" width="17" customWidth="1"/>
    <col min="2" max="2" width="30.7109375" customWidth="1"/>
    <col min="3" max="3" width="13.140625" customWidth="1"/>
    <col min="4" max="6" width="14.42578125" customWidth="1"/>
    <col min="7" max="7" width="23.5703125" customWidth="1"/>
    <col min="8" max="8" width="17" customWidth="1"/>
    <col min="9" max="9" width="15.140625" customWidth="1"/>
    <col min="10" max="10" width="12" customWidth="1"/>
    <col min="11" max="11" width="12.5703125" customWidth="1"/>
    <col min="12" max="12" width="11.85546875" customWidth="1"/>
    <col min="13" max="13" width="14.85546875" customWidth="1"/>
  </cols>
  <sheetData>
    <row r="1" spans="1:15" s="2" customFormat="1" ht="18.75" x14ac:dyDescent="0.3">
      <c r="A1" s="3" t="s">
        <v>379</v>
      </c>
    </row>
    <row r="3" spans="1:15" s="2" customFormat="1" x14ac:dyDescent="0.25">
      <c r="A3" s="2" t="s">
        <v>0</v>
      </c>
      <c r="B3" s="2" t="s">
        <v>7</v>
      </c>
      <c r="C3" s="2" t="s">
        <v>73</v>
      </c>
      <c r="D3" s="2" t="s">
        <v>13</v>
      </c>
      <c r="E3" s="2" t="s">
        <v>14</v>
      </c>
      <c r="F3" s="2" t="s">
        <v>15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4</v>
      </c>
      <c r="M3" s="2" t="s">
        <v>380</v>
      </c>
      <c r="N3" s="2" t="s">
        <v>85</v>
      </c>
      <c r="O3" s="2" t="s">
        <v>98</v>
      </c>
    </row>
    <row r="4" spans="1:15" x14ac:dyDescent="0.25">
      <c r="A4" s="52">
        <v>1</v>
      </c>
      <c r="B4" s="5" t="s">
        <v>356</v>
      </c>
      <c r="C4" s="5" t="s">
        <v>339</v>
      </c>
      <c r="D4" s="10">
        <v>41784</v>
      </c>
      <c r="E4" s="1">
        <v>41784</v>
      </c>
      <c r="F4" s="10">
        <v>41815</v>
      </c>
      <c r="G4" t="s">
        <v>384</v>
      </c>
      <c r="H4" t="s">
        <v>396</v>
      </c>
      <c r="I4" s="112">
        <v>1340</v>
      </c>
      <c r="J4" s="112">
        <v>0</v>
      </c>
      <c r="K4" s="112">
        <v>1340</v>
      </c>
      <c r="L4" s="5" t="s">
        <v>365</v>
      </c>
      <c r="M4" s="10">
        <v>41822</v>
      </c>
      <c r="N4" s="5">
        <v>1</v>
      </c>
      <c r="O4" t="s">
        <v>409</v>
      </c>
    </row>
    <row r="5" spans="1:15" x14ac:dyDescent="0.25">
      <c r="A5" s="52"/>
      <c r="B5" s="5" t="s">
        <v>386</v>
      </c>
      <c r="C5" s="5" t="s">
        <v>386</v>
      </c>
      <c r="D5" s="5"/>
      <c r="F5" s="66"/>
      <c r="G5" s="5" t="s">
        <v>385</v>
      </c>
      <c r="I5" s="112">
        <v>1648.19</v>
      </c>
      <c r="J5" s="112">
        <v>116.64</v>
      </c>
      <c r="K5" s="112">
        <v>1764.83</v>
      </c>
      <c r="L5" s="5" t="s">
        <v>365</v>
      </c>
      <c r="M5" s="10">
        <v>41879</v>
      </c>
      <c r="N5" s="67">
        <v>1</v>
      </c>
      <c r="O5" t="s">
        <v>383</v>
      </c>
    </row>
    <row r="6" spans="1:15" x14ac:dyDescent="0.25">
      <c r="A6" s="62"/>
      <c r="B6" s="5" t="s">
        <v>422</v>
      </c>
      <c r="D6" s="5"/>
      <c r="E6" s="5"/>
      <c r="F6" s="66"/>
      <c r="G6" s="5" t="s">
        <v>387</v>
      </c>
      <c r="I6" s="112">
        <v>376</v>
      </c>
      <c r="J6" s="112">
        <v>0</v>
      </c>
      <c r="K6" s="112">
        <v>376</v>
      </c>
      <c r="L6" s="5" t="s">
        <v>365</v>
      </c>
      <c r="M6" s="10">
        <v>41921</v>
      </c>
      <c r="N6" s="5">
        <v>2</v>
      </c>
      <c r="O6" t="s">
        <v>388</v>
      </c>
    </row>
    <row r="7" spans="1:15" x14ac:dyDescent="0.25">
      <c r="A7" s="62" t="s">
        <v>390</v>
      </c>
      <c r="B7" s="5" t="s">
        <v>415</v>
      </c>
      <c r="C7" t="s">
        <v>415</v>
      </c>
      <c r="D7" s="5"/>
      <c r="E7" s="5"/>
      <c r="F7" s="66"/>
      <c r="G7" s="5" t="s">
        <v>389</v>
      </c>
      <c r="I7" s="112">
        <f>K7-J7</f>
        <v>259.09090909090907</v>
      </c>
      <c r="J7" s="124">
        <f>K7/11</f>
        <v>25.90909090909091</v>
      </c>
      <c r="K7" s="112">
        <v>285</v>
      </c>
      <c r="L7" s="5" t="s">
        <v>365</v>
      </c>
      <c r="M7" s="10">
        <v>41940</v>
      </c>
      <c r="N7" s="5">
        <v>2</v>
      </c>
      <c r="O7" t="s">
        <v>383</v>
      </c>
    </row>
    <row r="8" spans="1:15" x14ac:dyDescent="0.25">
      <c r="A8" s="62"/>
      <c r="B8" s="5" t="s">
        <v>391</v>
      </c>
      <c r="C8" t="s">
        <v>74</v>
      </c>
      <c r="D8" s="5"/>
      <c r="E8" s="5"/>
      <c r="F8" s="66"/>
      <c r="G8" s="5" t="s">
        <v>391</v>
      </c>
      <c r="I8" s="112">
        <f>K8-J8</f>
        <v>1421</v>
      </c>
      <c r="J8" s="112">
        <v>0</v>
      </c>
      <c r="K8" s="112">
        <v>1421</v>
      </c>
      <c r="L8" s="5" t="s">
        <v>365</v>
      </c>
      <c r="M8" s="10">
        <v>41947</v>
      </c>
      <c r="N8" s="5">
        <v>2</v>
      </c>
      <c r="O8" t="s">
        <v>388</v>
      </c>
    </row>
    <row r="9" spans="1:15" x14ac:dyDescent="0.25">
      <c r="A9" s="62">
        <v>4</v>
      </c>
      <c r="B9" s="5" t="s">
        <v>356</v>
      </c>
      <c r="C9" s="5" t="s">
        <v>339</v>
      </c>
      <c r="D9" s="10">
        <v>41919</v>
      </c>
      <c r="E9" s="10">
        <v>41919</v>
      </c>
      <c r="F9" s="10">
        <v>41950</v>
      </c>
      <c r="G9" s="5" t="s">
        <v>384</v>
      </c>
      <c r="H9" t="s">
        <v>396</v>
      </c>
      <c r="I9" s="112">
        <v>1210</v>
      </c>
      <c r="J9" s="112">
        <v>0</v>
      </c>
      <c r="K9" s="112">
        <v>1210</v>
      </c>
      <c r="L9" s="5" t="s">
        <v>365</v>
      </c>
      <c r="M9" s="10">
        <v>41975</v>
      </c>
      <c r="N9" s="5">
        <v>2</v>
      </c>
      <c r="O9" t="s">
        <v>383</v>
      </c>
    </row>
    <row r="10" spans="1:15" x14ac:dyDescent="0.25">
      <c r="A10" s="62">
        <v>5</v>
      </c>
      <c r="B10" s="5" t="s">
        <v>356</v>
      </c>
      <c r="C10" s="5" t="s">
        <v>339</v>
      </c>
      <c r="D10" s="10">
        <v>41926</v>
      </c>
      <c r="E10" s="10">
        <v>41926</v>
      </c>
      <c r="F10" s="10">
        <v>41957</v>
      </c>
      <c r="G10" s="5" t="s">
        <v>384</v>
      </c>
      <c r="H10" t="s">
        <v>396</v>
      </c>
      <c r="I10" s="112">
        <v>1300</v>
      </c>
      <c r="J10" s="112">
        <v>0</v>
      </c>
      <c r="K10" s="112">
        <v>1300</v>
      </c>
      <c r="L10" s="5" t="s">
        <v>365</v>
      </c>
      <c r="M10" s="10">
        <v>41989</v>
      </c>
      <c r="N10" s="5">
        <v>2</v>
      </c>
      <c r="O10" t="s">
        <v>383</v>
      </c>
    </row>
    <row r="11" spans="1:15" x14ac:dyDescent="0.25">
      <c r="A11" s="52">
        <v>6</v>
      </c>
      <c r="B11" t="s">
        <v>356</v>
      </c>
      <c r="C11" t="s">
        <v>339</v>
      </c>
      <c r="D11" s="70">
        <v>41996</v>
      </c>
      <c r="E11" s="70">
        <v>41996</v>
      </c>
      <c r="F11" s="70">
        <v>42027</v>
      </c>
      <c r="G11" t="s">
        <v>384</v>
      </c>
      <c r="H11" t="s">
        <v>396</v>
      </c>
      <c r="I11" s="113">
        <v>600</v>
      </c>
      <c r="J11" s="113">
        <v>0</v>
      </c>
      <c r="K11" s="112">
        <v>600</v>
      </c>
      <c r="L11" s="5" t="s">
        <v>365</v>
      </c>
      <c r="M11" s="10">
        <v>42024</v>
      </c>
      <c r="N11" s="67">
        <v>3</v>
      </c>
      <c r="O11" t="s">
        <v>383</v>
      </c>
    </row>
    <row r="12" spans="1:15" ht="15.75" customHeight="1" x14ac:dyDescent="0.25">
      <c r="A12" s="52">
        <v>7</v>
      </c>
      <c r="B12" t="s">
        <v>356</v>
      </c>
      <c r="C12" t="s">
        <v>339</v>
      </c>
      <c r="D12" s="70">
        <v>42073</v>
      </c>
      <c r="E12" s="70">
        <v>42073</v>
      </c>
      <c r="F12" s="70">
        <v>42104</v>
      </c>
      <c r="G12" t="s">
        <v>384</v>
      </c>
      <c r="H12" t="s">
        <v>396</v>
      </c>
      <c r="I12" s="113">
        <v>600</v>
      </c>
      <c r="J12" s="113">
        <v>0</v>
      </c>
      <c r="K12" s="112">
        <v>600</v>
      </c>
      <c r="L12" s="5" t="s">
        <v>365</v>
      </c>
      <c r="M12" s="10">
        <v>42117</v>
      </c>
      <c r="N12" s="67">
        <v>4</v>
      </c>
      <c r="O12" t="s">
        <v>383</v>
      </c>
    </row>
    <row r="13" spans="1:15" x14ac:dyDescent="0.25">
      <c r="I13" s="118"/>
      <c r="J13" s="118"/>
      <c r="K13" s="118"/>
      <c r="N13" s="15"/>
    </row>
    <row r="14" spans="1:15" ht="15.75" thickBot="1" x14ac:dyDescent="0.3">
      <c r="I14" s="118"/>
      <c r="J14" s="118"/>
      <c r="K14" s="118"/>
      <c r="N14" s="15"/>
    </row>
    <row r="15" spans="1:15" ht="15.75" thickTop="1" x14ac:dyDescent="0.25">
      <c r="C15" s="2" t="s">
        <v>416</v>
      </c>
      <c r="I15" s="125">
        <f>SUM(I4:I14)</f>
        <v>8754.2809090909086</v>
      </c>
      <c r="J15" s="125">
        <f>SUM(J4:J14)</f>
        <v>142.54909090909092</v>
      </c>
      <c r="K15" s="125">
        <f>SUM(K4:K14)</f>
        <v>8896.83</v>
      </c>
    </row>
    <row r="16" spans="1:15" x14ac:dyDescent="0.25">
      <c r="C16" t="s">
        <v>79</v>
      </c>
    </row>
    <row r="17" spans="3:7" x14ac:dyDescent="0.25">
      <c r="C17" t="s">
        <v>75</v>
      </c>
    </row>
    <row r="18" spans="3:7" x14ac:dyDescent="0.25">
      <c r="C18" t="s">
        <v>76</v>
      </c>
      <c r="G18" s="5"/>
    </row>
    <row r="19" spans="3:7" x14ac:dyDescent="0.25">
      <c r="C19" t="s">
        <v>74</v>
      </c>
    </row>
    <row r="20" spans="3:7" x14ac:dyDescent="0.25">
      <c r="C20" t="s">
        <v>414</v>
      </c>
    </row>
    <row r="21" spans="3:7" x14ac:dyDescent="0.25">
      <c r="C21" t="s">
        <v>386</v>
      </c>
    </row>
    <row r="22" spans="3:7" x14ac:dyDescent="0.25">
      <c r="C22" t="s">
        <v>339</v>
      </c>
    </row>
    <row r="23" spans="3:7" x14ac:dyDescent="0.25">
      <c r="C23" t="s">
        <v>415</v>
      </c>
    </row>
  </sheetData>
  <pageMargins left="0.7" right="0.7" top="0.75" bottom="0.75" header="0.3" footer="0.3"/>
  <pageSetup paperSize="9" orientation="portrait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A2" sqref="A2"/>
    </sheetView>
  </sheetViews>
  <sheetFormatPr defaultRowHeight="15" x14ac:dyDescent="0.25"/>
  <cols>
    <col min="1" max="1" width="10.7109375" bestFit="1" customWidth="1"/>
    <col min="2" max="2" width="13.7109375" customWidth="1"/>
    <col min="3" max="3" width="18.42578125" customWidth="1"/>
    <col min="5" max="5" width="21.85546875" customWidth="1"/>
  </cols>
  <sheetData>
    <row r="1" spans="1:6" ht="18.75" x14ac:dyDescent="0.3">
      <c r="A1" s="3" t="s">
        <v>381</v>
      </c>
    </row>
    <row r="3" spans="1:6" s="2" customFormat="1" x14ac:dyDescent="0.25">
      <c r="A3" s="2" t="s">
        <v>2</v>
      </c>
      <c r="B3" s="2" t="s">
        <v>80</v>
      </c>
      <c r="C3" s="2" t="s">
        <v>81</v>
      </c>
      <c r="D3" s="2" t="s">
        <v>77</v>
      </c>
      <c r="E3" s="2" t="s">
        <v>98</v>
      </c>
      <c r="F3" s="2" t="s">
        <v>433</v>
      </c>
    </row>
    <row r="4" spans="1:6" x14ac:dyDescent="0.25">
      <c r="A4" s="10">
        <v>41821</v>
      </c>
      <c r="B4" s="112">
        <v>0.25</v>
      </c>
      <c r="C4" s="5" t="s">
        <v>82</v>
      </c>
      <c r="D4" s="5">
        <v>1</v>
      </c>
      <c r="E4" s="5" t="s">
        <v>414</v>
      </c>
      <c r="F4" t="s">
        <v>434</v>
      </c>
    </row>
    <row r="5" spans="1:6" x14ac:dyDescent="0.25">
      <c r="A5" s="10">
        <v>41851</v>
      </c>
      <c r="B5" s="112">
        <v>27.54</v>
      </c>
      <c r="C5" s="5" t="s">
        <v>382</v>
      </c>
      <c r="D5" s="5">
        <v>1</v>
      </c>
      <c r="E5" s="5" t="s">
        <v>83</v>
      </c>
      <c r="F5" t="s">
        <v>435</v>
      </c>
    </row>
    <row r="6" spans="1:6" x14ac:dyDescent="0.25">
      <c r="A6" s="10">
        <v>41855</v>
      </c>
      <c r="B6" s="112">
        <v>0.25</v>
      </c>
      <c r="C6" s="5" t="s">
        <v>82</v>
      </c>
      <c r="D6" s="5">
        <v>1</v>
      </c>
      <c r="E6" s="5" t="s">
        <v>414</v>
      </c>
      <c r="F6" t="s">
        <v>434</v>
      </c>
    </row>
    <row r="7" spans="1:6" x14ac:dyDescent="0.25">
      <c r="A7" s="10">
        <v>41880</v>
      </c>
      <c r="B7" s="112">
        <v>25.86</v>
      </c>
      <c r="C7" s="5" t="s">
        <v>382</v>
      </c>
      <c r="D7" s="5">
        <v>1</v>
      </c>
      <c r="E7" s="5" t="s">
        <v>83</v>
      </c>
      <c r="F7" t="s">
        <v>435</v>
      </c>
    </row>
    <row r="8" spans="1:6" x14ac:dyDescent="0.25">
      <c r="A8" s="10">
        <v>41912</v>
      </c>
      <c r="B8" s="112">
        <v>1.9</v>
      </c>
      <c r="C8" s="5" t="s">
        <v>82</v>
      </c>
      <c r="D8" s="5">
        <v>1</v>
      </c>
      <c r="E8" s="5" t="s">
        <v>83</v>
      </c>
      <c r="F8" t="s">
        <v>435</v>
      </c>
    </row>
    <row r="9" spans="1:6" x14ac:dyDescent="0.25">
      <c r="A9" s="10">
        <v>41912</v>
      </c>
      <c r="B9" s="112">
        <v>24.79</v>
      </c>
      <c r="C9" s="5" t="s">
        <v>382</v>
      </c>
      <c r="D9" s="5">
        <v>1</v>
      </c>
      <c r="E9" s="5" t="s">
        <v>83</v>
      </c>
      <c r="F9" t="s">
        <v>435</v>
      </c>
    </row>
    <row r="10" spans="1:6" x14ac:dyDescent="0.25">
      <c r="A10" s="10">
        <v>41943</v>
      </c>
      <c r="B10" s="112">
        <v>23.9</v>
      </c>
      <c r="C10" s="5" t="s">
        <v>382</v>
      </c>
      <c r="D10" s="5">
        <v>2</v>
      </c>
      <c r="E10" s="5" t="s">
        <v>83</v>
      </c>
      <c r="F10" t="s">
        <v>435</v>
      </c>
    </row>
    <row r="11" spans="1:6" x14ac:dyDescent="0.25">
      <c r="A11" s="10">
        <v>41946</v>
      </c>
      <c r="B11" s="112">
        <v>0.25</v>
      </c>
      <c r="C11" s="5" t="s">
        <v>82</v>
      </c>
      <c r="D11" s="5">
        <v>2</v>
      </c>
      <c r="E11" s="5" t="s">
        <v>414</v>
      </c>
      <c r="F11" t="s">
        <v>434</v>
      </c>
    </row>
    <row r="12" spans="1:6" x14ac:dyDescent="0.25">
      <c r="A12" s="10">
        <v>41971</v>
      </c>
      <c r="B12" s="112">
        <v>21.12</v>
      </c>
      <c r="C12" s="5" t="s">
        <v>382</v>
      </c>
      <c r="D12" s="5">
        <v>2</v>
      </c>
      <c r="E12" s="5" t="s">
        <v>83</v>
      </c>
      <c r="F12" t="s">
        <v>435</v>
      </c>
    </row>
    <row r="13" spans="1:6" x14ac:dyDescent="0.25">
      <c r="A13" s="10">
        <v>42004</v>
      </c>
      <c r="B13" s="112">
        <v>1.58</v>
      </c>
      <c r="C13" s="5" t="s">
        <v>82</v>
      </c>
      <c r="D13" s="5">
        <v>2</v>
      </c>
      <c r="E13" s="5" t="s">
        <v>83</v>
      </c>
      <c r="F13" t="s">
        <v>435</v>
      </c>
    </row>
    <row r="14" spans="1:6" x14ac:dyDescent="0.25">
      <c r="A14" s="10">
        <v>42004</v>
      </c>
      <c r="B14" s="112">
        <v>20.96</v>
      </c>
      <c r="C14" s="5" t="s">
        <v>382</v>
      </c>
      <c r="D14" s="5">
        <v>2</v>
      </c>
      <c r="E14" s="5" t="s">
        <v>83</v>
      </c>
      <c r="F14" t="s">
        <v>435</v>
      </c>
    </row>
    <row r="15" spans="1:6" x14ac:dyDescent="0.25">
      <c r="A15" s="10">
        <v>42006</v>
      </c>
      <c r="B15" s="112">
        <v>0.5</v>
      </c>
      <c r="C15" t="s">
        <v>82</v>
      </c>
      <c r="D15">
        <v>3</v>
      </c>
      <c r="E15" t="s">
        <v>414</v>
      </c>
      <c r="F15" t="s">
        <v>434</v>
      </c>
    </row>
    <row r="16" spans="1:6" x14ac:dyDescent="0.25">
      <c r="A16" s="10">
        <v>42034</v>
      </c>
      <c r="B16" s="112">
        <v>18.53</v>
      </c>
      <c r="C16" t="s">
        <v>382</v>
      </c>
      <c r="D16">
        <v>3</v>
      </c>
      <c r="E16" t="s">
        <v>83</v>
      </c>
      <c r="F16" t="s">
        <v>435</v>
      </c>
    </row>
    <row r="17" spans="1:6" x14ac:dyDescent="0.25">
      <c r="A17" s="10">
        <v>42037</v>
      </c>
      <c r="B17" s="112">
        <v>0.25</v>
      </c>
      <c r="C17" t="s">
        <v>82</v>
      </c>
      <c r="D17">
        <v>3</v>
      </c>
      <c r="E17" t="s">
        <v>414</v>
      </c>
      <c r="F17" t="s">
        <v>434</v>
      </c>
    </row>
    <row r="18" spans="1:6" x14ac:dyDescent="0.25">
      <c r="A18" s="10">
        <v>42052</v>
      </c>
      <c r="B18" s="112">
        <v>12</v>
      </c>
      <c r="C18" t="s">
        <v>82</v>
      </c>
      <c r="D18">
        <v>3</v>
      </c>
      <c r="E18" t="s">
        <v>414</v>
      </c>
      <c r="F18" t="s">
        <v>434</v>
      </c>
    </row>
    <row r="19" spans="1:6" x14ac:dyDescent="0.25">
      <c r="A19" s="10">
        <v>42062</v>
      </c>
      <c r="B19" s="112">
        <v>17.21</v>
      </c>
      <c r="C19" t="s">
        <v>382</v>
      </c>
      <c r="D19">
        <v>3</v>
      </c>
      <c r="E19" t="s">
        <v>83</v>
      </c>
      <c r="F19" t="s">
        <v>435</v>
      </c>
    </row>
    <row r="20" spans="1:6" x14ac:dyDescent="0.25">
      <c r="A20" s="10">
        <v>42094</v>
      </c>
      <c r="B20" s="112">
        <v>0.5</v>
      </c>
      <c r="C20" t="s">
        <v>82</v>
      </c>
      <c r="D20">
        <v>3</v>
      </c>
      <c r="E20" t="s">
        <v>83</v>
      </c>
      <c r="F20" t="s">
        <v>435</v>
      </c>
    </row>
    <row r="21" spans="1:6" x14ac:dyDescent="0.25">
      <c r="A21" s="10">
        <v>42094</v>
      </c>
      <c r="B21" s="112">
        <v>17.260000000000002</v>
      </c>
      <c r="C21" t="s">
        <v>382</v>
      </c>
      <c r="D21">
        <v>3</v>
      </c>
      <c r="E21" t="s">
        <v>83</v>
      </c>
      <c r="F21" t="s">
        <v>435</v>
      </c>
    </row>
    <row r="22" spans="1:6" x14ac:dyDescent="0.25">
      <c r="A22" s="10">
        <v>42124</v>
      </c>
      <c r="B22" s="112">
        <v>15.09</v>
      </c>
      <c r="C22" t="s">
        <v>382</v>
      </c>
      <c r="D22">
        <v>4</v>
      </c>
      <c r="E22" t="s">
        <v>83</v>
      </c>
      <c r="F22" t="s">
        <v>435</v>
      </c>
    </row>
    <row r="23" spans="1:6" x14ac:dyDescent="0.25">
      <c r="A23" s="10">
        <v>42125</v>
      </c>
      <c r="B23" s="112">
        <v>0.25</v>
      </c>
      <c r="C23" t="s">
        <v>82</v>
      </c>
      <c r="D23">
        <v>4</v>
      </c>
      <c r="E23" t="s">
        <v>414</v>
      </c>
      <c r="F23" t="s">
        <v>434</v>
      </c>
    </row>
    <row r="24" spans="1:6" x14ac:dyDescent="0.25">
      <c r="A24" s="10">
        <v>42153</v>
      </c>
      <c r="B24" s="112">
        <v>12.9</v>
      </c>
      <c r="C24" t="s">
        <v>382</v>
      </c>
      <c r="D24">
        <v>4</v>
      </c>
      <c r="E24" t="s">
        <v>83</v>
      </c>
      <c r="F24" t="s">
        <v>435</v>
      </c>
    </row>
    <row r="25" spans="1:6" x14ac:dyDescent="0.25">
      <c r="A25" s="10">
        <v>42185</v>
      </c>
      <c r="B25" s="112">
        <v>1.68</v>
      </c>
      <c r="C25" t="s">
        <v>82</v>
      </c>
      <c r="D25">
        <v>4</v>
      </c>
      <c r="E25" t="s">
        <v>83</v>
      </c>
      <c r="F25" t="s">
        <v>435</v>
      </c>
    </row>
    <row r="26" spans="1:6" x14ac:dyDescent="0.25">
      <c r="A26" s="1">
        <v>42185</v>
      </c>
      <c r="B26" s="113">
        <v>12.73</v>
      </c>
      <c r="C26" t="s">
        <v>382</v>
      </c>
      <c r="D26">
        <v>4</v>
      </c>
      <c r="E26" t="s">
        <v>83</v>
      </c>
      <c r="F26" t="s">
        <v>435</v>
      </c>
    </row>
    <row r="27" spans="1:6" x14ac:dyDescent="0.25">
      <c r="B27" s="4"/>
    </row>
    <row r="28" spans="1:6" x14ac:dyDescent="0.25">
      <c r="B28" s="4"/>
      <c r="C28" s="2" t="s">
        <v>416</v>
      </c>
      <c r="E28" s="2" t="s">
        <v>416</v>
      </c>
      <c r="F28" s="2" t="s">
        <v>416</v>
      </c>
    </row>
    <row r="29" spans="1:6" x14ac:dyDescent="0.25">
      <c r="B29" s="4"/>
      <c r="C29" t="s">
        <v>382</v>
      </c>
      <c r="E29" t="s">
        <v>414</v>
      </c>
      <c r="F29" t="s">
        <v>435</v>
      </c>
    </row>
    <row r="30" spans="1:6" x14ac:dyDescent="0.25">
      <c r="B30" s="4"/>
      <c r="C30" t="s">
        <v>82</v>
      </c>
      <c r="E30" t="s">
        <v>83</v>
      </c>
      <c r="F30" t="s">
        <v>434</v>
      </c>
    </row>
    <row r="31" spans="1:6" x14ac:dyDescent="0.25">
      <c r="B31" s="4"/>
    </row>
    <row r="32" spans="1:6" x14ac:dyDescent="0.25">
      <c r="B32" s="4"/>
    </row>
    <row r="33" spans="1:3" x14ac:dyDescent="0.25">
      <c r="B33" s="4"/>
    </row>
    <row r="34" spans="1:3" x14ac:dyDescent="0.25">
      <c r="B34" s="4"/>
    </row>
    <row r="35" spans="1:3" x14ac:dyDescent="0.25">
      <c r="B35" s="4"/>
    </row>
    <row r="36" spans="1:3" x14ac:dyDescent="0.25">
      <c r="B36" s="4"/>
    </row>
    <row r="37" spans="1:3" x14ac:dyDescent="0.25">
      <c r="A37" s="1"/>
      <c r="B37" s="4"/>
    </row>
    <row r="38" spans="1:3" x14ac:dyDescent="0.25">
      <c r="A38" s="1"/>
      <c r="B38" s="4"/>
    </row>
    <row r="42" spans="1:3" x14ac:dyDescent="0.25">
      <c r="C42" t="s">
        <v>82</v>
      </c>
    </row>
    <row r="43" spans="1:3" x14ac:dyDescent="0.25">
      <c r="C43" t="s">
        <v>382</v>
      </c>
    </row>
    <row r="44" spans="1:3" x14ac:dyDescent="0.25">
      <c r="C44" t="s">
        <v>293</v>
      </c>
    </row>
  </sheetData>
  <sortState ref="A4:E24">
    <sortCondition ref="A4:A24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A4" sqref="A4"/>
    </sheetView>
  </sheetViews>
  <sheetFormatPr defaultRowHeight="15" x14ac:dyDescent="0.25"/>
  <cols>
    <col min="1" max="1" width="33.28515625" customWidth="1"/>
    <col min="2" max="6" width="13.85546875" customWidth="1"/>
  </cols>
  <sheetData>
    <row r="1" spans="1:6" ht="18.75" x14ac:dyDescent="0.3">
      <c r="A1" s="3" t="s">
        <v>418</v>
      </c>
    </row>
    <row r="2" spans="1:6" x14ac:dyDescent="0.25">
      <c r="A2" s="2" t="s">
        <v>419</v>
      </c>
    </row>
    <row r="4" spans="1:6" x14ac:dyDescent="0.25">
      <c r="B4" s="131" t="s">
        <v>85</v>
      </c>
      <c r="C4" s="131"/>
      <c r="D4" s="131"/>
      <c r="E4" s="131"/>
      <c r="F4" s="109" t="s">
        <v>425</v>
      </c>
    </row>
    <row r="5" spans="1:6" x14ac:dyDescent="0.25">
      <c r="B5" s="12">
        <v>1</v>
      </c>
      <c r="C5" s="12">
        <v>2</v>
      </c>
      <c r="D5" s="12">
        <v>3</v>
      </c>
      <c r="E5" s="12">
        <v>4</v>
      </c>
      <c r="F5" s="110" t="s">
        <v>424</v>
      </c>
    </row>
    <row r="6" spans="1:6" x14ac:dyDescent="0.25">
      <c r="A6" s="2" t="s">
        <v>420</v>
      </c>
      <c r="B6" s="11"/>
      <c r="C6" s="11"/>
      <c r="D6" s="11"/>
      <c r="E6" s="11"/>
      <c r="F6" s="111"/>
    </row>
    <row r="7" spans="1:6" x14ac:dyDescent="0.25">
      <c r="A7" t="s">
        <v>21</v>
      </c>
      <c r="B7" s="113">
        <f>SUMIFS(Receivable!$J$4:$J$13,Receivable!$B$4:$B$13,$A7,Receivable!$O$4:$O$13,B$5)</f>
        <v>1200</v>
      </c>
      <c r="C7" s="113">
        <f>SUMIFS(Receivable!$J$4:$J$13,Receivable!$B$4:$B$13,$A7,Receivable!$O$4:$O$13,C$5)</f>
        <v>0</v>
      </c>
      <c r="D7" s="113">
        <f>SUMIFS(Receivable!$J$4:$J$13,Receivable!$B$4:$B$13,$A7,Receivable!$O$4:$O$13,D$5)</f>
        <v>250</v>
      </c>
      <c r="E7" s="113">
        <f>SUMIFS(Receivable!$J$4:$J$13,Receivable!$B$4:$B$13,$A7,Receivable!$O$4:$O$13,E$5)</f>
        <v>4350</v>
      </c>
      <c r="F7" s="116">
        <f>SUM(B7:E7)</f>
        <v>5800</v>
      </c>
    </row>
    <row r="8" spans="1:6" x14ac:dyDescent="0.25">
      <c r="A8" t="s">
        <v>5</v>
      </c>
      <c r="B8" s="113">
        <f>SUMIFS(Receivable!$J$4:$J$13,Receivable!$B$4:$B$13,$A8,Receivable!$O$4:$O$13,B$5)</f>
        <v>0</v>
      </c>
      <c r="C8" s="113">
        <f>SUMIFS(Receivable!$J$4:$J$13,Receivable!$B$4:$B$13,$A8,Receivable!$O$4:$O$13,C$5)</f>
        <v>0</v>
      </c>
      <c r="D8" s="113">
        <f>SUMIFS(Receivable!$J$4:$J$13,Receivable!$B$4:$B$13,$A8,Receivable!$O$4:$O$13,D$5)</f>
        <v>0</v>
      </c>
      <c r="E8" s="113">
        <f>SUMIFS(Receivable!$J$4:$J$13,Receivable!$B$4:$B$13,$A8,Receivable!$O$4:$O$13,E$5)</f>
        <v>0</v>
      </c>
      <c r="F8" s="116">
        <f t="shared" ref="F8:F25" si="0">SUM(B8:E8)</f>
        <v>0</v>
      </c>
    </row>
    <row r="9" spans="1:6" x14ac:dyDescent="0.25">
      <c r="A9" t="s">
        <v>78</v>
      </c>
      <c r="B9" s="113">
        <f>SUMIFS(Receivable!$J$4:$J$13,Receivable!$B$4:$B$13,$A9,Receivable!$O$4:$O$13,B$5)</f>
        <v>0</v>
      </c>
      <c r="C9" s="113">
        <f>SUMIFS(Receivable!$J$4:$J$13,Receivable!$B$4:$B$13,$A9,Receivable!$O$4:$O$13,C$5)</f>
        <v>0</v>
      </c>
      <c r="D9" s="113">
        <f>SUMIFS(Receivable!$J$4:$J$13,Receivable!$B$4:$B$13,$A9,Receivable!$O$4:$O$13,D$5)</f>
        <v>0</v>
      </c>
      <c r="E9" s="113">
        <f>SUMIFS(Receivable!$J$4:$J$13,Receivable!$B$4:$B$13,$A9,Receivable!$O$4:$O$13,E$5)</f>
        <v>0</v>
      </c>
      <c r="F9" s="116">
        <f t="shared" si="0"/>
        <v>0</v>
      </c>
    </row>
    <row r="10" spans="1:6" s="2" customFormat="1" x14ac:dyDescent="0.25">
      <c r="A10" s="117" t="s">
        <v>72</v>
      </c>
      <c r="B10" s="126">
        <f>SUM(B7:B9)</f>
        <v>1200</v>
      </c>
      <c r="C10" s="126">
        <f t="shared" ref="C10:E10" si="1">SUM(C7:C9)</f>
        <v>0</v>
      </c>
      <c r="D10" s="126">
        <f t="shared" si="1"/>
        <v>250</v>
      </c>
      <c r="E10" s="126">
        <f t="shared" si="1"/>
        <v>4350</v>
      </c>
      <c r="F10" s="127">
        <f t="shared" si="0"/>
        <v>5800</v>
      </c>
    </row>
    <row r="11" spans="1:6" x14ac:dyDescent="0.25">
      <c r="B11" s="113"/>
      <c r="C11" s="113"/>
      <c r="D11" s="113"/>
      <c r="E11" s="113"/>
      <c r="F11" s="116"/>
    </row>
    <row r="12" spans="1:6" x14ac:dyDescent="0.25">
      <c r="A12" s="2" t="s">
        <v>421</v>
      </c>
      <c r="B12" s="113"/>
      <c r="C12" s="113"/>
      <c r="D12" s="113"/>
      <c r="E12" s="113"/>
      <c r="F12" s="116"/>
    </row>
    <row r="13" spans="1:6" x14ac:dyDescent="0.25">
      <c r="A13" t="s">
        <v>79</v>
      </c>
      <c r="B13" s="113">
        <f>SUMIFS(Payable!$I$4:$I$14,Payable!$C$4:$C$14,'P&amp;L Statement'!$A13,Payable!$N$4:$N$14,'P&amp;L Statement'!B$5)</f>
        <v>0</v>
      </c>
      <c r="C13" s="113">
        <f>SUMIFS(Payable!$I$4:$I$14,Payable!$C$4:$C$14,'P&amp;L Statement'!$A13,Payable!$N$4:$N$14,'P&amp;L Statement'!C$5)</f>
        <v>0</v>
      </c>
      <c r="D13" s="113">
        <f>SUMIFS(Payable!$I$4:$I$14,Payable!$C$4:$C$14,'P&amp;L Statement'!$A13,Payable!$N$4:$N$14,'P&amp;L Statement'!D$5)</f>
        <v>0</v>
      </c>
      <c r="E13" s="113">
        <f>SUMIFS(Payable!$I$4:$I$14,Payable!$C$4:$C$14,'P&amp;L Statement'!$A13,Payable!$N$4:$N$14,'P&amp;L Statement'!E$5)</f>
        <v>0</v>
      </c>
      <c r="F13" s="116">
        <f t="shared" si="0"/>
        <v>0</v>
      </c>
    </row>
    <row r="14" spans="1:6" x14ac:dyDescent="0.25">
      <c r="A14" t="s">
        <v>75</v>
      </c>
      <c r="B14" s="113">
        <f>SUMIFS(Payable!$I$4:$I$14,Payable!$C$4:$C$14,'P&amp;L Statement'!$A14,Payable!$N$4:$N$14,'P&amp;L Statement'!B$5)</f>
        <v>0</v>
      </c>
      <c r="C14" s="113">
        <f>SUMIFS(Payable!$I$4:$I$14,Payable!$C$4:$C$14,'P&amp;L Statement'!$A14,Payable!$N$4:$N$14,'P&amp;L Statement'!C$5)</f>
        <v>0</v>
      </c>
      <c r="D14" s="113">
        <f>SUMIFS(Payable!$I$4:$I$14,Payable!$C$4:$C$14,'P&amp;L Statement'!$A14,Payable!$N$4:$N$14,'P&amp;L Statement'!D$5)</f>
        <v>0</v>
      </c>
      <c r="E14" s="113">
        <f>SUMIFS(Payable!$I$4:$I$14,Payable!$C$4:$C$14,'P&amp;L Statement'!$A14,Payable!$N$4:$N$14,'P&amp;L Statement'!E$5)</f>
        <v>0</v>
      </c>
      <c r="F14" s="116">
        <f t="shared" ref="F14:F20" si="2">SUM(B14:E14)</f>
        <v>0</v>
      </c>
    </row>
    <row r="15" spans="1:6" x14ac:dyDescent="0.25">
      <c r="A15" t="s">
        <v>76</v>
      </c>
      <c r="B15" s="113">
        <f>SUMIFS(Payable!$I$4:$I$14,Payable!$C$4:$C$14,'P&amp;L Statement'!$A15,Payable!$N$4:$N$14,'P&amp;L Statement'!B$5)</f>
        <v>0</v>
      </c>
      <c r="C15" s="113">
        <f>SUMIFS(Payable!$I$4:$I$14,Payable!$C$4:$C$14,'P&amp;L Statement'!$A15,Payable!$N$4:$N$14,'P&amp;L Statement'!C$5)</f>
        <v>0</v>
      </c>
      <c r="D15" s="113">
        <f>SUMIFS(Payable!$I$4:$I$14,Payable!$C$4:$C$14,'P&amp;L Statement'!$A15,Payable!$N$4:$N$14,'P&amp;L Statement'!D$5)</f>
        <v>0</v>
      </c>
      <c r="E15" s="113">
        <f>SUMIFS(Payable!$I$4:$I$14,Payable!$C$4:$C$14,'P&amp;L Statement'!$A15,Payable!$N$4:$N$14,'P&amp;L Statement'!E$5)</f>
        <v>0</v>
      </c>
      <c r="F15" s="116">
        <f t="shared" si="2"/>
        <v>0</v>
      </c>
    </row>
    <row r="16" spans="1:6" x14ac:dyDescent="0.25">
      <c r="A16" t="s">
        <v>74</v>
      </c>
      <c r="B16" s="113">
        <f>SUMIFS(Payable!$I$4:$I$14,Payable!$C$4:$C$14,'P&amp;L Statement'!$A16,Payable!$N$4:$N$14,'P&amp;L Statement'!B$5)</f>
        <v>0</v>
      </c>
      <c r="C16" s="113">
        <f>SUMIFS(Payable!$I$4:$I$14,Payable!$C$4:$C$14,'P&amp;L Statement'!$A16,Payable!$N$4:$N$14,'P&amp;L Statement'!C$5)</f>
        <v>1421</v>
      </c>
      <c r="D16" s="113">
        <f>SUMIFS(Payable!$I$4:$I$14,Payable!$C$4:$C$14,'P&amp;L Statement'!$A16,Payable!$N$4:$N$14,'P&amp;L Statement'!D$5)</f>
        <v>0</v>
      </c>
      <c r="E16" s="113">
        <f>SUMIFS(Payable!$I$4:$I$14,Payable!$C$4:$C$14,'P&amp;L Statement'!$A16,Payable!$N$4:$N$14,'P&amp;L Statement'!E$5)</f>
        <v>0</v>
      </c>
      <c r="F16" s="116">
        <f t="shared" si="2"/>
        <v>1421</v>
      </c>
    </row>
    <row r="17" spans="1:6" x14ac:dyDescent="0.25">
      <c r="A17" t="s">
        <v>414</v>
      </c>
      <c r="B17" s="113">
        <f>SUMIFS(' Interest &amp; Fees'!$B$4:$B$26,' Interest &amp; Fees'!$E$4:$E$26,'P&amp;L Statement'!$A17,' Interest &amp; Fees'!$D$4:$D$26,'P&amp;L Statement'!B$5)</f>
        <v>0.5</v>
      </c>
      <c r="C17" s="113">
        <f>SUMIFS(' Interest &amp; Fees'!$B$4:$B$26,' Interest &amp; Fees'!$E$4:$E$26,'P&amp;L Statement'!$A17,' Interest &amp; Fees'!$D$4:$D$26,'P&amp;L Statement'!C$5)</f>
        <v>0.25</v>
      </c>
      <c r="D17" s="113">
        <f>SUMIFS(' Interest &amp; Fees'!$B$4:$B$26,' Interest &amp; Fees'!$E$4:$E$26,'P&amp;L Statement'!$A17,' Interest &amp; Fees'!$D$4:$D$26,'P&amp;L Statement'!D$5)</f>
        <v>12.75</v>
      </c>
      <c r="E17" s="113">
        <f>SUMIFS(' Interest &amp; Fees'!$B$4:$B$26,' Interest &amp; Fees'!$E$4:$E$26,'P&amp;L Statement'!$A17,' Interest &amp; Fees'!$D$4:$D$26,'P&amp;L Statement'!E$5)</f>
        <v>0.25</v>
      </c>
      <c r="F17" s="116">
        <f t="shared" si="2"/>
        <v>13.75</v>
      </c>
    </row>
    <row r="18" spans="1:6" x14ac:dyDescent="0.25">
      <c r="A18" t="s">
        <v>386</v>
      </c>
      <c r="B18" s="113">
        <f>SUMIFS(Payable!$I$4:$I$14,Payable!$C$4:$C$14,'P&amp;L Statement'!$A18,Payable!$N$4:$N$14,'P&amp;L Statement'!B$5)</f>
        <v>1648.19</v>
      </c>
      <c r="C18" s="113">
        <f>SUMIFS(Payable!$I$4:$I$14,Payable!$C$4:$C$14,'P&amp;L Statement'!$A18,Payable!$N$4:$N$14,'P&amp;L Statement'!C$5)</f>
        <v>0</v>
      </c>
      <c r="D18" s="113">
        <f>SUMIFS(Payable!$I$4:$I$14,Payable!$C$4:$C$14,'P&amp;L Statement'!$A18,Payable!$N$4:$N$14,'P&amp;L Statement'!D$5)</f>
        <v>0</v>
      </c>
      <c r="E18" s="113">
        <f>SUMIFS(Payable!$I$4:$I$14,Payable!$C$4:$C$14,'P&amp;L Statement'!$A18,Payable!$N$4:$N$14,'P&amp;L Statement'!E$5)</f>
        <v>0</v>
      </c>
      <c r="F18" s="116">
        <f t="shared" si="2"/>
        <v>1648.19</v>
      </c>
    </row>
    <row r="19" spans="1:6" x14ac:dyDescent="0.25">
      <c r="A19" t="s">
        <v>339</v>
      </c>
      <c r="B19" s="113">
        <f>SUMIFS(Payable!$I$4:$I$14,Payable!$C$4:$C$14,'P&amp;L Statement'!$A19,Payable!$N$4:$N$14,'P&amp;L Statement'!B$5)</f>
        <v>1340</v>
      </c>
      <c r="C19" s="113">
        <f>SUMIFS(Payable!$I$4:$I$14,Payable!$C$4:$C$14,'P&amp;L Statement'!$A19,Payable!$N$4:$N$14,'P&amp;L Statement'!C$5)</f>
        <v>2510</v>
      </c>
      <c r="D19" s="113">
        <f>SUMIFS(Payable!$I$4:$I$14,Payable!$C$4:$C$14,'P&amp;L Statement'!$A19,Payable!$N$4:$N$14,'P&amp;L Statement'!D$5)</f>
        <v>600</v>
      </c>
      <c r="E19" s="113">
        <f>SUMIFS(Payable!$I$4:$I$14,Payable!$C$4:$C$14,'P&amp;L Statement'!$A19,Payable!$N$4:$N$14,'P&amp;L Statement'!E$5)</f>
        <v>600</v>
      </c>
      <c r="F19" s="116">
        <f t="shared" si="2"/>
        <v>5050</v>
      </c>
    </row>
    <row r="20" spans="1:6" x14ac:dyDescent="0.25">
      <c r="A20" t="s">
        <v>415</v>
      </c>
      <c r="B20" s="113">
        <f>SUMIFS(Payable!$I$4:$I$14,Payable!$C$4:$C$14,'P&amp;L Statement'!$A20,Payable!$N$4:$N$14,'P&amp;L Statement'!B$5)</f>
        <v>0</v>
      </c>
      <c r="C20" s="113">
        <f>SUMIFS(Payable!$I$4:$I$14,Payable!$C$4:$C$14,'P&amp;L Statement'!$A20,Payable!$N$4:$N$14,'P&amp;L Statement'!C$5)</f>
        <v>259.09090909090907</v>
      </c>
      <c r="D20" s="113">
        <f>SUMIFS(Payable!$I$4:$I$14,Payable!$C$4:$C$14,'P&amp;L Statement'!$A20,Payable!$N$4:$N$14,'P&amp;L Statement'!D$5)</f>
        <v>0</v>
      </c>
      <c r="E20" s="113">
        <f>SUMIFS(Payable!$I$4:$I$14,Payable!$C$4:$C$14,'P&amp;L Statement'!$A20,Payable!$N$4:$N$14,'P&amp;L Statement'!E$5)</f>
        <v>0</v>
      </c>
      <c r="F20" s="116">
        <f t="shared" si="2"/>
        <v>259.09090909090907</v>
      </c>
    </row>
    <row r="21" spans="1:6" s="2" customFormat="1" x14ac:dyDescent="0.25">
      <c r="A21" s="117" t="s">
        <v>84</v>
      </c>
      <c r="B21" s="126">
        <f>SUM(B13:B20)</f>
        <v>2988.69</v>
      </c>
      <c r="C21" s="126">
        <f>SUM(C13:C20)</f>
        <v>4190.340909090909</v>
      </c>
      <c r="D21" s="126">
        <f>SUM(D13:D20)</f>
        <v>612.75</v>
      </c>
      <c r="E21" s="126">
        <f>SUM(E13:E20)</f>
        <v>600.25</v>
      </c>
      <c r="F21" s="127">
        <f>SUM(F13:F20)</f>
        <v>8392.0309090909104</v>
      </c>
    </row>
    <row r="22" spans="1:6" x14ac:dyDescent="0.25">
      <c r="B22" s="113"/>
      <c r="C22" s="113"/>
      <c r="D22" s="113"/>
      <c r="E22" s="113"/>
      <c r="F22" s="116"/>
    </row>
    <row r="23" spans="1:6" x14ac:dyDescent="0.25">
      <c r="A23" s="2" t="s">
        <v>445</v>
      </c>
      <c r="B23" s="113"/>
      <c r="C23" s="113"/>
      <c r="D23" s="113"/>
      <c r="E23" s="113"/>
      <c r="F23" s="116"/>
    </row>
    <row r="24" spans="1:6" x14ac:dyDescent="0.25">
      <c r="A24" t="s">
        <v>436</v>
      </c>
      <c r="B24" s="113">
        <f>B10-B21</f>
        <v>-1788.69</v>
      </c>
      <c r="C24" s="113">
        <f>C10-C21</f>
        <v>-4190.340909090909</v>
      </c>
      <c r="D24" s="113">
        <f>D10-D21</f>
        <v>-362.75</v>
      </c>
      <c r="E24" s="113">
        <f>E10-E21</f>
        <v>3749.75</v>
      </c>
      <c r="F24" s="116">
        <f>F10-F21</f>
        <v>-2592.0309090909104</v>
      </c>
    </row>
    <row r="25" spans="1:6" x14ac:dyDescent="0.25">
      <c r="A25" t="s">
        <v>83</v>
      </c>
      <c r="B25" s="113">
        <f>SUMIFS(' Interest &amp; Fees'!$B$4:$B$26,' Interest &amp; Fees'!$E$4:$E$26,'P&amp;L Statement'!$A25,' Interest &amp; Fees'!$D$4:$D$26,'P&amp;L Statement'!B$5)</f>
        <v>80.09</v>
      </c>
      <c r="C25" s="113">
        <f>SUMIFS(' Interest &amp; Fees'!$B$4:$B$26,' Interest &amp; Fees'!$E$4:$E$26,'P&amp;L Statement'!$A25,' Interest &amp; Fees'!$D$4:$D$26,'P&amp;L Statement'!C$5)</f>
        <v>67.56</v>
      </c>
      <c r="D25" s="113">
        <f>SUMIFS(' Interest &amp; Fees'!$B$4:$B$26,' Interest &amp; Fees'!$E$4:$E$26,'P&amp;L Statement'!$A25,' Interest &amp; Fees'!$D$4:$D$26,'P&amp;L Statement'!D$5)</f>
        <v>53.5</v>
      </c>
      <c r="E25" s="113">
        <f>SUMIFS(' Interest &amp; Fees'!$B$4:$B$26,' Interest &amp; Fees'!$E$4:$E$26,'P&amp;L Statement'!$A25,' Interest &amp; Fees'!$D$4:$D$26,'P&amp;L Statement'!E$5)</f>
        <v>42.400000000000006</v>
      </c>
      <c r="F25" s="116">
        <f t="shared" si="0"/>
        <v>243.55</v>
      </c>
    </row>
    <row r="26" spans="1:6" s="2" customFormat="1" x14ac:dyDescent="0.25">
      <c r="A26" s="128" t="s">
        <v>423</v>
      </c>
      <c r="B26" s="129">
        <f>B24+B25</f>
        <v>-1708.6000000000001</v>
      </c>
      <c r="C26" s="129">
        <f t="shared" ref="C26:F26" si="3">C24+C25</f>
        <v>-4122.7809090909086</v>
      </c>
      <c r="D26" s="129">
        <f t="shared" si="3"/>
        <v>-309.25</v>
      </c>
      <c r="E26" s="129">
        <f t="shared" si="3"/>
        <v>3792.15</v>
      </c>
      <c r="F26" s="130">
        <f t="shared" si="3"/>
        <v>-2348.4809090909102</v>
      </c>
    </row>
    <row r="28" spans="1:6" x14ac:dyDescent="0.25">
      <c r="A28" t="s">
        <v>417</v>
      </c>
    </row>
  </sheetData>
  <mergeCells count="1">
    <mergeCell ref="B4:E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2" sqref="A2"/>
    </sheetView>
  </sheetViews>
  <sheetFormatPr defaultRowHeight="15" x14ac:dyDescent="0.25"/>
  <cols>
    <col min="1" max="1" width="46.5703125" customWidth="1"/>
    <col min="2" max="6" width="15.7109375" customWidth="1"/>
  </cols>
  <sheetData>
    <row r="1" spans="1:6" ht="18.75" x14ac:dyDescent="0.3">
      <c r="A1" s="3" t="s">
        <v>437</v>
      </c>
    </row>
    <row r="3" spans="1:6" x14ac:dyDescent="0.25">
      <c r="B3" s="131" t="s">
        <v>85</v>
      </c>
      <c r="C3" s="131"/>
      <c r="D3" s="131"/>
      <c r="E3" s="131"/>
      <c r="F3" s="109" t="s">
        <v>425</v>
      </c>
    </row>
    <row r="4" spans="1:6" x14ac:dyDescent="0.25">
      <c r="B4" s="12">
        <v>1</v>
      </c>
      <c r="C4" s="12">
        <v>2</v>
      </c>
      <c r="D4" s="12">
        <v>3</v>
      </c>
      <c r="E4" s="12">
        <v>4</v>
      </c>
      <c r="F4" s="110" t="s">
        <v>424</v>
      </c>
    </row>
    <row r="5" spans="1:6" x14ac:dyDescent="0.25">
      <c r="A5" t="s">
        <v>442</v>
      </c>
      <c r="B5" s="118">
        <f>SUMIF(Receivable!$O4:$O12,B4,Receivable!$L4:$L12)</f>
        <v>1320</v>
      </c>
      <c r="C5" s="118">
        <f>SUMIF(Receivable!$O4:$O12,C4,Receivable!$L4:$L12)</f>
        <v>0</v>
      </c>
      <c r="D5" s="118">
        <f>SUMIF(Receivable!$O4:$O12,D4,Receivable!$L4:$L12)</f>
        <v>275</v>
      </c>
      <c r="E5" s="118">
        <f>SUMIF(Receivable!$O4:$O12,E4,Receivable!$L4:$L12)</f>
        <v>4785</v>
      </c>
      <c r="F5" s="119">
        <f>SUM(B5:E5)</f>
        <v>6380</v>
      </c>
    </row>
    <row r="6" spans="1:6" x14ac:dyDescent="0.25">
      <c r="A6" t="s">
        <v>438</v>
      </c>
      <c r="B6" s="118">
        <f>SUMIF(Receivable!$O4:$O12,B4,Receivable!$K4:$K12)</f>
        <v>120</v>
      </c>
      <c r="C6" s="118">
        <f>SUMIF(Receivable!$O4:$O12,C4,Receivable!$K4:$K12)</f>
        <v>0</v>
      </c>
      <c r="D6" s="118">
        <f>SUMIF(Receivable!$O4:$O12,D4,Receivable!$K4:$K12)</f>
        <v>25</v>
      </c>
      <c r="E6" s="118">
        <f>SUMIF(Receivable!$O4:$O12,E4,Receivable!$K4:$K12)</f>
        <v>435</v>
      </c>
      <c r="F6" s="119">
        <f t="shared" ref="F6:F8" si="0">SUM(B6:E6)</f>
        <v>580</v>
      </c>
    </row>
    <row r="7" spans="1:6" x14ac:dyDescent="0.25">
      <c r="A7" t="s">
        <v>439</v>
      </c>
      <c r="B7" s="118">
        <f>SUMIF(Payable!$N4:$N12,B4,Payable!$K4:$K12)</f>
        <v>3104.83</v>
      </c>
      <c r="C7" s="118">
        <f>SUMIF(Payable!$N4:$N12,C4,Payable!$K4:$K12)</f>
        <v>4592</v>
      </c>
      <c r="D7" s="118">
        <f>SUMIF(Payable!$N4:$N12,D4,Payable!$K4:$K12)</f>
        <v>600</v>
      </c>
      <c r="E7" s="118">
        <f>SUMIF(Payable!$N4:$N12,E4,Payable!$K4:$K12)</f>
        <v>600</v>
      </c>
      <c r="F7" s="119">
        <f t="shared" si="0"/>
        <v>8896.83</v>
      </c>
    </row>
    <row r="8" spans="1:6" x14ac:dyDescent="0.25">
      <c r="A8" t="s">
        <v>440</v>
      </c>
      <c r="B8" s="118">
        <f>SUMIF(Payable!$N4:$N12,B4,Payable!$J4:$J12)</f>
        <v>116.64</v>
      </c>
      <c r="C8" s="118">
        <f>SUMIF(Payable!$N4:$N12,C4,Payable!$J4:$J12)</f>
        <v>25.90909090909091</v>
      </c>
      <c r="D8" s="118">
        <f>SUMIF(Payable!$N4:$N12,D4,Payable!$J4:$J12)</f>
        <v>0</v>
      </c>
      <c r="E8" s="118">
        <f>SUMIF(Payable!$N4:$N12,E4,Payable!$J4:$J12)</f>
        <v>0</v>
      </c>
      <c r="F8" s="119">
        <f t="shared" si="0"/>
        <v>142.54909090909092</v>
      </c>
    </row>
    <row r="9" spans="1:6" x14ac:dyDescent="0.25">
      <c r="A9" s="117" t="s">
        <v>441</v>
      </c>
      <c r="B9" s="120">
        <f>B6-B8</f>
        <v>3.3599999999999994</v>
      </c>
      <c r="C9" s="120">
        <f t="shared" ref="C9:E9" si="1">C6-C8</f>
        <v>-25.90909090909091</v>
      </c>
      <c r="D9" s="120">
        <f t="shared" si="1"/>
        <v>25</v>
      </c>
      <c r="E9" s="120">
        <f t="shared" si="1"/>
        <v>435</v>
      </c>
      <c r="F9" s="121">
        <f>SUM(B9:E9)</f>
        <v>437.45090909090908</v>
      </c>
    </row>
  </sheetData>
  <mergeCells count="1">
    <mergeCell ref="B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Membership</vt:lpstr>
      <vt:lpstr>Bank Reconciliation</vt:lpstr>
      <vt:lpstr>Receivable</vt:lpstr>
      <vt:lpstr>Payable</vt:lpstr>
      <vt:lpstr> Interest &amp; Fees</vt:lpstr>
      <vt:lpstr>P&amp;L Statement</vt:lpstr>
      <vt:lpstr>BAS</vt:lpstr>
    </vt:vector>
  </TitlesOfParts>
  <Company>CGGVeritas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Oliver, Kathlene</dc:creator>
  <cp:lastModifiedBy>Owner</cp:lastModifiedBy>
  <dcterms:created xsi:type="dcterms:W3CDTF">2013-08-19T04:22:25Z</dcterms:created>
  <dcterms:modified xsi:type="dcterms:W3CDTF">2015-07-25T05:03:57Z</dcterms:modified>
</cp:coreProperties>
</file>